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LEARNING PROJECT\BLENDED LEARNING\BLDT BLFR 2017 from celtpoliteknik\"/>
    </mc:Choice>
  </mc:AlternateContent>
  <bookViews>
    <workbookView xWindow="0" yWindow="0" windowWidth="21480" windowHeight="10035" firstSheet="2" activeTab="3"/>
  </bookViews>
  <sheets>
    <sheet name="MASTER5_COMPLETE CHECK" sheetId="16" state="hidden" r:id="rId1"/>
    <sheet name="DASHBOARD" sheetId="17" state="hidden" r:id="rId2"/>
    <sheet name="BLFRinfo" sheetId="33" r:id="rId3"/>
    <sheet name="BLFRcth" sheetId="34" r:id="rId4"/>
    <sheet name="BLFRborang" sheetId="35" r:id="rId5"/>
  </sheets>
  <calcPr calcId="152511"/>
</workbook>
</file>

<file path=xl/calcChain.xml><?xml version="1.0" encoding="utf-8"?>
<calcChain xmlns="http://schemas.openxmlformats.org/spreadsheetml/2006/main">
  <c r="D15" i="34" l="1"/>
  <c r="D17" i="34" s="1"/>
  <c r="D14" i="33" l="1"/>
  <c r="D14" i="35" l="1"/>
  <c r="D16" i="35" s="1"/>
  <c r="K41" i="17" l="1"/>
  <c r="I40" i="17"/>
  <c r="S4" i="17" s="1"/>
  <c r="N39" i="17"/>
  <c r="O39" i="17" s="1"/>
  <c r="M39" i="17"/>
  <c r="C39" i="17" s="1"/>
  <c r="F39" i="17"/>
  <c r="G39" i="17" s="1"/>
  <c r="H39" i="17" s="1"/>
  <c r="L39" i="17" s="1"/>
  <c r="N38" i="17"/>
  <c r="O38" i="17" s="1"/>
  <c r="M38" i="17"/>
  <c r="C38" i="17" s="1"/>
  <c r="F38" i="17"/>
  <c r="G38" i="17" s="1"/>
  <c r="H38" i="17" s="1"/>
  <c r="L38" i="17" s="1"/>
  <c r="N37" i="17"/>
  <c r="O37" i="17" s="1"/>
  <c r="M37" i="17"/>
  <c r="F37" i="17"/>
  <c r="G37" i="17" s="1"/>
  <c r="H37" i="17" s="1"/>
  <c r="L37" i="17" s="1"/>
  <c r="C37" i="17"/>
  <c r="N36" i="17"/>
  <c r="O36" i="17" s="1"/>
  <c r="M36" i="17"/>
  <c r="C36" i="17" s="1"/>
  <c r="F36" i="17"/>
  <c r="G36" i="17" s="1"/>
  <c r="H36" i="17" s="1"/>
  <c r="L36" i="17" s="1"/>
  <c r="N35" i="17"/>
  <c r="O35" i="17" s="1"/>
  <c r="M35" i="17"/>
  <c r="C35" i="17" s="1"/>
  <c r="F35" i="17"/>
  <c r="G35" i="17" s="1"/>
  <c r="H35" i="17" s="1"/>
  <c r="N33" i="17"/>
  <c r="O33" i="17" s="1"/>
  <c r="M33" i="17"/>
  <c r="C33" i="17" s="1"/>
  <c r="F33" i="17"/>
  <c r="G33" i="17" s="1"/>
  <c r="H33" i="17" s="1"/>
  <c r="L33" i="17" s="1"/>
  <c r="N32" i="17"/>
  <c r="O32" i="17" s="1"/>
  <c r="M32" i="17"/>
  <c r="C32" i="17" s="1"/>
  <c r="F32" i="17"/>
  <c r="G32" i="17" s="1"/>
  <c r="H32" i="17" s="1"/>
  <c r="L32" i="17" s="1"/>
  <c r="N31" i="17"/>
  <c r="O31" i="17" s="1"/>
  <c r="M31" i="17"/>
  <c r="C31" i="17" s="1"/>
  <c r="F31" i="17"/>
  <c r="G31" i="17" s="1"/>
  <c r="H31" i="17" s="1"/>
  <c r="L31" i="17" s="1"/>
  <c r="N30" i="17"/>
  <c r="O30" i="17" s="1"/>
  <c r="M30" i="17"/>
  <c r="C30" i="17" s="1"/>
  <c r="F30" i="17"/>
  <c r="G30" i="17" s="1"/>
  <c r="H30" i="17" s="1"/>
  <c r="L30" i="17" s="1"/>
  <c r="N29" i="17"/>
  <c r="O29" i="17" s="1"/>
  <c r="M29" i="17"/>
  <c r="C29" i="17" s="1"/>
  <c r="F29" i="17"/>
  <c r="G29" i="17" s="1"/>
  <c r="H29" i="17" s="1"/>
  <c r="L29" i="17" s="1"/>
  <c r="N28" i="17"/>
  <c r="O28" i="17" s="1"/>
  <c r="M28" i="17"/>
  <c r="C28" i="17" s="1"/>
  <c r="F28" i="17"/>
  <c r="G28" i="17" s="1"/>
  <c r="H28" i="17" s="1"/>
  <c r="L28" i="17" s="1"/>
  <c r="N27" i="17"/>
  <c r="O27" i="17" s="1"/>
  <c r="M27" i="17"/>
  <c r="C27" i="17" s="1"/>
  <c r="F27" i="17"/>
  <c r="G27" i="17" s="1"/>
  <c r="H27" i="17" s="1"/>
  <c r="L27" i="17" s="1"/>
  <c r="N26" i="17"/>
  <c r="O26" i="17" s="1"/>
  <c r="M26" i="17"/>
  <c r="C26" i="17" s="1"/>
  <c r="F26" i="17"/>
  <c r="G26" i="17" s="1"/>
  <c r="H26" i="17" s="1"/>
  <c r="L26" i="17" s="1"/>
  <c r="N25" i="17"/>
  <c r="O25" i="17" s="1"/>
  <c r="M25" i="17"/>
  <c r="C25" i="17" s="1"/>
  <c r="F25" i="17"/>
  <c r="G25" i="17" s="1"/>
  <c r="H25" i="17" s="1"/>
  <c r="L25" i="17" s="1"/>
  <c r="N24" i="17"/>
  <c r="M24" i="17"/>
  <c r="C24" i="17" s="1"/>
  <c r="F24" i="17"/>
  <c r="G24" i="17" s="1"/>
  <c r="H24" i="17" s="1"/>
  <c r="N22" i="17"/>
  <c r="O22" i="17" s="1"/>
  <c r="M22" i="17"/>
  <c r="C22" i="17" s="1"/>
  <c r="F22" i="17"/>
  <c r="G22" i="17" s="1"/>
  <c r="H22" i="17" s="1"/>
  <c r="L22" i="17" s="1"/>
  <c r="N21" i="17"/>
  <c r="O21" i="17" s="1"/>
  <c r="M21" i="17"/>
  <c r="C21" i="17" s="1"/>
  <c r="F21" i="17"/>
  <c r="G21" i="17" s="1"/>
  <c r="H21" i="17" s="1"/>
  <c r="L21" i="17" s="1"/>
  <c r="N20" i="17"/>
  <c r="O20" i="17" s="1"/>
  <c r="M20" i="17"/>
  <c r="C20" i="17" s="1"/>
  <c r="F20" i="17"/>
  <c r="G20" i="17" s="1"/>
  <c r="H20" i="17" s="1"/>
  <c r="L20" i="17" s="1"/>
  <c r="N19" i="17"/>
  <c r="O19" i="17" s="1"/>
  <c r="M19" i="17"/>
  <c r="C19" i="17" s="1"/>
  <c r="F19" i="17"/>
  <c r="G19" i="17" s="1"/>
  <c r="H19" i="17" s="1"/>
  <c r="L19" i="17" s="1"/>
  <c r="N18" i="17"/>
  <c r="O18" i="17" s="1"/>
  <c r="M18" i="17"/>
  <c r="C18" i="17" s="1"/>
  <c r="F18" i="17"/>
  <c r="G18" i="17" s="1"/>
  <c r="H18" i="17" s="1"/>
  <c r="L18" i="17" s="1"/>
  <c r="N17" i="17"/>
  <c r="O17" i="17" s="1"/>
  <c r="M17" i="17"/>
  <c r="F17" i="17"/>
  <c r="G17" i="17" s="1"/>
  <c r="H17" i="17" s="1"/>
  <c r="L17" i="17" s="1"/>
  <c r="C17" i="17"/>
  <c r="N16" i="17"/>
  <c r="O16" i="17" s="1"/>
  <c r="M16" i="17"/>
  <c r="C16" i="17" s="1"/>
  <c r="F16" i="17"/>
  <c r="G16" i="17" s="1"/>
  <c r="H16" i="17" s="1"/>
  <c r="L16" i="17" s="1"/>
  <c r="N15" i="17"/>
  <c r="O15" i="17" s="1"/>
  <c r="M15" i="17"/>
  <c r="C15" i="17" s="1"/>
  <c r="F15" i="17"/>
  <c r="G15" i="17" s="1"/>
  <c r="H15" i="17" s="1"/>
  <c r="L15" i="17" s="1"/>
  <c r="N14" i="17"/>
  <c r="O14" i="17" s="1"/>
  <c r="M14" i="17"/>
  <c r="C14" i="17" s="1"/>
  <c r="F14" i="17"/>
  <c r="G14" i="17" s="1"/>
  <c r="H14" i="17" s="1"/>
  <c r="L14" i="17" s="1"/>
  <c r="N13" i="17"/>
  <c r="O13" i="17" s="1"/>
  <c r="M13" i="17"/>
  <c r="C13" i="17" s="1"/>
  <c r="F13" i="17"/>
  <c r="G13" i="17" s="1"/>
  <c r="H13" i="17" s="1"/>
  <c r="L13" i="17" s="1"/>
  <c r="N12" i="17"/>
  <c r="O12" i="17" s="1"/>
  <c r="M12" i="17"/>
  <c r="C12" i="17" s="1"/>
  <c r="F12" i="17"/>
  <c r="G12" i="17" s="1"/>
  <c r="H12" i="17" s="1"/>
  <c r="L12" i="17" s="1"/>
  <c r="N11" i="17"/>
  <c r="O11" i="17" s="1"/>
  <c r="M11" i="17"/>
  <c r="C11" i="17" s="1"/>
  <c r="F11" i="17"/>
  <c r="G11" i="17" s="1"/>
  <c r="H11" i="17" s="1"/>
  <c r="L11" i="17" s="1"/>
  <c r="N10" i="17"/>
  <c r="O10" i="17" s="1"/>
  <c r="M10" i="17"/>
  <c r="C10" i="17" s="1"/>
  <c r="F10" i="17"/>
  <c r="G10" i="17" s="1"/>
  <c r="H10" i="17" s="1"/>
  <c r="L10" i="17" s="1"/>
  <c r="N9" i="17"/>
  <c r="O9" i="17" s="1"/>
  <c r="M9" i="17"/>
  <c r="C9" i="17" s="1"/>
  <c r="F9" i="17"/>
  <c r="G9" i="17" s="1"/>
  <c r="H9" i="17" s="1"/>
  <c r="L9" i="17" s="1"/>
  <c r="N7" i="17"/>
  <c r="O7" i="17" s="1"/>
  <c r="M7" i="17"/>
  <c r="C7" i="17" s="1"/>
  <c r="F7" i="17"/>
  <c r="G7" i="17" s="1"/>
  <c r="H7" i="17" s="1"/>
  <c r="L7" i="17" s="1"/>
  <c r="N6" i="17"/>
  <c r="O6" i="17" s="1"/>
  <c r="M6" i="17"/>
  <c r="C6" i="17" s="1"/>
  <c r="F6" i="17"/>
  <c r="G6" i="17" s="1"/>
  <c r="H6" i="17" s="1"/>
  <c r="L6" i="17" s="1"/>
  <c r="N5" i="17"/>
  <c r="O5" i="17" s="1"/>
  <c r="M5" i="17"/>
  <c r="C5" i="17" s="1"/>
  <c r="F5" i="17"/>
  <c r="G5" i="17" s="1"/>
  <c r="H5" i="17" s="1"/>
  <c r="P35" i="17" l="1"/>
  <c r="Q35" i="17" s="1"/>
  <c r="T39" i="17"/>
  <c r="O24" i="17"/>
  <c r="P24" i="17" s="1"/>
  <c r="Q24" i="17" s="1"/>
  <c r="P9" i="17"/>
  <c r="Q9" i="17" s="1"/>
  <c r="T7" i="17"/>
  <c r="L5" i="17"/>
  <c r="T22" i="17"/>
  <c r="T33" i="17"/>
  <c r="L24" i="17"/>
  <c r="G40" i="17"/>
  <c r="P5" i="17"/>
  <c r="L35" i="17"/>
  <c r="I40" i="16"/>
  <c r="T41" i="17" l="1"/>
  <c r="R4" i="17"/>
  <c r="Q5" i="17"/>
  <c r="M5" i="16"/>
  <c r="K41" i="16"/>
  <c r="M7" i="16" l="1"/>
  <c r="M6" i="16"/>
  <c r="N39" i="16"/>
  <c r="O39" i="16" s="1"/>
  <c r="N38" i="16"/>
  <c r="O38" i="16" s="1"/>
  <c r="N37" i="16"/>
  <c r="O37" i="16" s="1"/>
  <c r="N36" i="16"/>
  <c r="O36" i="16" s="1"/>
  <c r="N35" i="16"/>
  <c r="O35" i="16" s="1"/>
  <c r="S4" i="16" l="1"/>
  <c r="M39" i="16"/>
  <c r="M38" i="16"/>
  <c r="M37" i="16"/>
  <c r="M36" i="16"/>
  <c r="M35" i="16"/>
  <c r="M33" i="16"/>
  <c r="M32" i="16"/>
  <c r="M31" i="16"/>
  <c r="M30" i="16"/>
  <c r="M29" i="16"/>
  <c r="M28" i="16"/>
  <c r="M27" i="16"/>
  <c r="M26" i="16"/>
  <c r="M25" i="16"/>
  <c r="M24" i="16"/>
  <c r="N25" i="16"/>
  <c r="N26" i="16"/>
  <c r="N27" i="16"/>
  <c r="N28" i="16"/>
  <c r="N29" i="16"/>
  <c r="N30" i="16"/>
  <c r="N31" i="16"/>
  <c r="N32" i="16"/>
  <c r="N33" i="16"/>
  <c r="N24" i="16"/>
  <c r="M22" i="16"/>
  <c r="M14" i="16"/>
  <c r="M19" i="16"/>
  <c r="M21" i="16"/>
  <c r="M20" i="16"/>
  <c r="M18" i="16"/>
  <c r="M17" i="16"/>
  <c r="M16" i="16"/>
  <c r="M15" i="16"/>
  <c r="M12" i="16"/>
  <c r="M13" i="16"/>
  <c r="M11" i="16"/>
  <c r="M10" i="16"/>
  <c r="M9" i="16"/>
  <c r="N10" i="16"/>
  <c r="O10" i="16" s="1"/>
  <c r="N11" i="16"/>
  <c r="O11" i="16" s="1"/>
  <c r="N12" i="16"/>
  <c r="O12" i="16" s="1"/>
  <c r="N13" i="16"/>
  <c r="O13" i="16" s="1"/>
  <c r="N14" i="16"/>
  <c r="O14" i="16" s="1"/>
  <c r="N15" i="16"/>
  <c r="O15" i="16" s="1"/>
  <c r="N16" i="16"/>
  <c r="O16" i="16" s="1"/>
  <c r="N17" i="16"/>
  <c r="O17" i="16" s="1"/>
  <c r="N18" i="16"/>
  <c r="O18" i="16" s="1"/>
  <c r="N19" i="16"/>
  <c r="O19" i="16" s="1"/>
  <c r="N20" i="16"/>
  <c r="O20" i="16" s="1"/>
  <c r="N21" i="16"/>
  <c r="O21" i="16" s="1"/>
  <c r="N22" i="16"/>
  <c r="O22" i="16" s="1"/>
  <c r="N9" i="16"/>
  <c r="O9" i="16" s="1"/>
  <c r="N6" i="16"/>
  <c r="N7" i="16"/>
  <c r="N5" i="16"/>
  <c r="F39" i="16"/>
  <c r="G39" i="16" s="1"/>
  <c r="H39" i="16" s="1"/>
  <c r="F38" i="16"/>
  <c r="G38" i="16" s="1"/>
  <c r="H38" i="16" s="1"/>
  <c r="F37" i="16"/>
  <c r="G37" i="16" s="1"/>
  <c r="H37" i="16" s="1"/>
  <c r="F36" i="16"/>
  <c r="G36" i="16" s="1"/>
  <c r="H36" i="16" s="1"/>
  <c r="F35" i="16"/>
  <c r="G35" i="16" s="1"/>
  <c r="H35" i="16" s="1"/>
  <c r="F33" i="16"/>
  <c r="G33" i="16" s="1"/>
  <c r="H33" i="16" s="1"/>
  <c r="F32" i="16"/>
  <c r="G32" i="16" s="1"/>
  <c r="H32" i="16" s="1"/>
  <c r="F31" i="16"/>
  <c r="G31" i="16" s="1"/>
  <c r="H31" i="16" s="1"/>
  <c r="F30" i="16"/>
  <c r="G30" i="16" s="1"/>
  <c r="H30" i="16" s="1"/>
  <c r="F29" i="16"/>
  <c r="G29" i="16" s="1"/>
  <c r="H29" i="16" s="1"/>
  <c r="F28" i="16"/>
  <c r="G28" i="16" s="1"/>
  <c r="H28" i="16" s="1"/>
  <c r="F27" i="16"/>
  <c r="G27" i="16" s="1"/>
  <c r="H27" i="16" s="1"/>
  <c r="F26" i="16"/>
  <c r="G26" i="16" s="1"/>
  <c r="H26" i="16" s="1"/>
  <c r="F25" i="16"/>
  <c r="G25" i="16" s="1"/>
  <c r="H25" i="16" s="1"/>
  <c r="F24" i="16"/>
  <c r="G24" i="16" s="1"/>
  <c r="H24" i="16" s="1"/>
  <c r="F22" i="16"/>
  <c r="G22" i="16" s="1"/>
  <c r="H22" i="16" s="1"/>
  <c r="F21" i="16"/>
  <c r="G21" i="16" s="1"/>
  <c r="H21" i="16" s="1"/>
  <c r="F20" i="16"/>
  <c r="G20" i="16" s="1"/>
  <c r="H20" i="16" s="1"/>
  <c r="F19" i="16"/>
  <c r="G19" i="16" s="1"/>
  <c r="H19" i="16" s="1"/>
  <c r="F18" i="16"/>
  <c r="G18" i="16" s="1"/>
  <c r="H18" i="16" s="1"/>
  <c r="F17" i="16"/>
  <c r="G17" i="16" s="1"/>
  <c r="H17" i="16" s="1"/>
  <c r="F16" i="16"/>
  <c r="G16" i="16" s="1"/>
  <c r="H16" i="16" s="1"/>
  <c r="F15" i="16"/>
  <c r="G15" i="16" s="1"/>
  <c r="H15" i="16" s="1"/>
  <c r="F14" i="16"/>
  <c r="G14" i="16" s="1"/>
  <c r="H14" i="16" s="1"/>
  <c r="F13" i="16"/>
  <c r="G13" i="16" s="1"/>
  <c r="H13" i="16" s="1"/>
  <c r="F12" i="16"/>
  <c r="G12" i="16" s="1"/>
  <c r="H12" i="16" s="1"/>
  <c r="F11" i="16"/>
  <c r="G11" i="16" s="1"/>
  <c r="H11" i="16" s="1"/>
  <c r="F10" i="16"/>
  <c r="G10" i="16" s="1"/>
  <c r="H10" i="16" s="1"/>
  <c r="F9" i="16"/>
  <c r="G9" i="16" s="1"/>
  <c r="H9" i="16" s="1"/>
  <c r="F7" i="16"/>
  <c r="G7" i="16" s="1"/>
  <c r="H7" i="16" s="1"/>
  <c r="F6" i="16"/>
  <c r="G6" i="16" s="1"/>
  <c r="H6" i="16" s="1"/>
  <c r="F5" i="16"/>
  <c r="G5" i="16" s="1"/>
  <c r="H5" i="16" s="1"/>
  <c r="T22" i="16" l="1"/>
  <c r="T39" i="16"/>
  <c r="T33" i="16"/>
  <c r="T7" i="16"/>
  <c r="C24" i="16"/>
  <c r="G40" i="16"/>
  <c r="O6" i="16"/>
  <c r="L6" i="16"/>
  <c r="C6" i="16"/>
  <c r="O7" i="16"/>
  <c r="L7" i="16"/>
  <c r="C7" i="16"/>
  <c r="L9" i="16"/>
  <c r="C9" i="16"/>
  <c r="L10" i="16"/>
  <c r="C10" i="16"/>
  <c r="L11" i="16"/>
  <c r="C11" i="16"/>
  <c r="L12" i="16"/>
  <c r="C12" i="16"/>
  <c r="L13" i="16"/>
  <c r="C13" i="16"/>
  <c r="L14" i="16"/>
  <c r="C14" i="16"/>
  <c r="L15" i="16"/>
  <c r="C15" i="16"/>
  <c r="L16" i="16"/>
  <c r="C16" i="16"/>
  <c r="L17" i="16"/>
  <c r="C17" i="16"/>
  <c r="L19" i="16"/>
  <c r="C19" i="16"/>
  <c r="L21" i="16"/>
  <c r="L22" i="16"/>
  <c r="C22" i="16"/>
  <c r="L18" i="16"/>
  <c r="C18" i="16"/>
  <c r="L20" i="16"/>
  <c r="C20" i="16"/>
  <c r="C21" i="16"/>
  <c r="L24" i="16"/>
  <c r="L5" i="16"/>
  <c r="O25" i="16"/>
  <c r="L25" i="16"/>
  <c r="C25" i="16"/>
  <c r="O26" i="16"/>
  <c r="L26" i="16"/>
  <c r="C26" i="16"/>
  <c r="O27" i="16"/>
  <c r="L27" i="16"/>
  <c r="C27" i="16"/>
  <c r="O28" i="16"/>
  <c r="L28" i="16"/>
  <c r="C28" i="16"/>
  <c r="O29" i="16"/>
  <c r="L29" i="16"/>
  <c r="C29" i="16"/>
  <c r="O30" i="16"/>
  <c r="L30" i="16"/>
  <c r="C30" i="16"/>
  <c r="O31" i="16"/>
  <c r="L31" i="16"/>
  <c r="C31" i="16"/>
  <c r="O32" i="16"/>
  <c r="L32" i="16"/>
  <c r="C32" i="16"/>
  <c r="O33" i="16"/>
  <c r="L33" i="16"/>
  <c r="C33" i="16"/>
  <c r="L35" i="16"/>
  <c r="C35" i="16"/>
  <c r="L36" i="16"/>
  <c r="C36" i="16"/>
  <c r="L37" i="16"/>
  <c r="C37" i="16"/>
  <c r="L38" i="16"/>
  <c r="C38" i="16"/>
  <c r="L39" i="16"/>
  <c r="C39" i="16"/>
  <c r="T41" i="16" l="1"/>
  <c r="P35" i="16"/>
  <c r="O5" i="16"/>
  <c r="P5" i="16" s="1"/>
  <c r="C5" i="16"/>
  <c r="O24" i="16"/>
  <c r="P24" i="16" s="1"/>
  <c r="P9" i="16"/>
  <c r="Q9" i="16" s="1"/>
  <c r="R4" i="16" l="1"/>
  <c r="Q24" i="16"/>
  <c r="Q35" i="16"/>
  <c r="Q5" i="16"/>
</calcChain>
</file>

<file path=xl/sharedStrings.xml><?xml version="1.0" encoding="utf-8"?>
<sst xmlns="http://schemas.openxmlformats.org/spreadsheetml/2006/main" count="239" uniqueCount="113">
  <si>
    <t>PROGM UTAMA</t>
  </si>
  <si>
    <t>KURSUS DGN GEMS</t>
  </si>
  <si>
    <t>PUO</t>
  </si>
  <si>
    <t>PSA</t>
  </si>
  <si>
    <t>PIS</t>
  </si>
  <si>
    <t>% SIAP</t>
  </si>
  <si>
    <t>POLIMAS</t>
  </si>
  <si>
    <t>PKB</t>
  </si>
  <si>
    <t>PPD</t>
  </si>
  <si>
    <t>POLISAS</t>
  </si>
  <si>
    <t>POLITEKNIK KONV B</t>
  </si>
  <si>
    <t>POLITEKNIK KONV A</t>
  </si>
  <si>
    <t>POLITEKNIK PREMIER</t>
  </si>
  <si>
    <t>KPI CUM (5%)</t>
  </si>
  <si>
    <t>KPI CUM (10%)</t>
  </si>
  <si>
    <t>KPI CUM (15%)</t>
  </si>
  <si>
    <t>POLITEKNIK METrO</t>
  </si>
  <si>
    <t>PMKL</t>
  </si>
  <si>
    <t>PMJB</t>
  </si>
  <si>
    <t>PMKU</t>
  </si>
  <si>
    <t>KPI CUM (20%)</t>
  </si>
  <si>
    <t>PMTG</t>
  </si>
  <si>
    <t>PMBS</t>
  </si>
  <si>
    <t>ePMO</t>
  </si>
  <si>
    <t>PSAS</t>
  </si>
  <si>
    <t>PSIS</t>
  </si>
  <si>
    <t>PKS</t>
  </si>
  <si>
    <t>PKK</t>
  </si>
  <si>
    <t>PTSS</t>
  </si>
  <si>
    <t>PMU</t>
  </si>
  <si>
    <t>PTSB</t>
  </si>
  <si>
    <t>PSP</t>
  </si>
  <si>
    <t>PSMZA</t>
  </si>
  <si>
    <t>PMS</t>
  </si>
  <si>
    <t>PMK</t>
  </si>
  <si>
    <t>PKT</t>
  </si>
  <si>
    <t>PBU</t>
  </si>
  <si>
    <t>PNS</t>
  </si>
  <si>
    <t>PBS</t>
  </si>
  <si>
    <t>PHT</t>
  </si>
  <si>
    <t>PSS</t>
  </si>
  <si>
    <t>PENGIRAAN KPI BLENDED LEARNING POLITEKNIK MALAYSIA</t>
  </si>
  <si>
    <t>LAPORAN INSTITUSI - INDIVIDU</t>
  </si>
  <si>
    <t>PMJ</t>
  </si>
  <si>
    <t>LAPORAN KUMULATIF - JPP</t>
  </si>
  <si>
    <t>PJK</t>
  </si>
  <si>
    <t>PMM</t>
  </si>
  <si>
    <t>KURSUS UTAMA LAYAK (25)</t>
  </si>
  <si>
    <t>JPPKPI</t>
  </si>
  <si>
    <t>KURSUS UTAMA LAYAK (12)</t>
  </si>
  <si>
    <t>KURSUS UTAMA LAYAK (15)</t>
  </si>
  <si>
    <t>KURSUS UTAMA LAYAK (20)</t>
  </si>
  <si>
    <t>D</t>
  </si>
  <si>
    <t>C</t>
  </si>
  <si>
    <t>B</t>
  </si>
  <si>
    <t>A</t>
  </si>
  <si>
    <t>JUM. KURSUS BL SEBENAR</t>
  </si>
  <si>
    <t>PENCAPAIAN KPI KUMULATIF</t>
  </si>
  <si>
    <t xml:space="preserve">JUMLAH  SEBENAR KURSUS BL </t>
  </si>
  <si>
    <t>JUM TETAP KUR KUMULATIF (499)</t>
  </si>
  <si>
    <t>JUM TETAP KUR KUMULATIF (1340)</t>
  </si>
  <si>
    <t>JUM TETAP KUR KUMULATIF (216)</t>
  </si>
  <si>
    <t>JUM. TETAP KUR KUMULATIF (115)</t>
  </si>
  <si>
    <t>KUNCI: 4150</t>
  </si>
  <si>
    <t>SASARAN :2170</t>
  </si>
  <si>
    <t>EXAMPLES</t>
  </si>
  <si>
    <t>OD</t>
  </si>
  <si>
    <t>TECHNICAL RECOMMENDATION</t>
  </si>
  <si>
    <t>FORUM, CHAT,  WEB 2.0, SOCIAL MEDIA, WIKI ETC</t>
  </si>
  <si>
    <t>REQUIREMENT ACHIEVED</t>
  </si>
  <si>
    <t>INSTRUCTIONAL AND DIGITAL LEARNING DIVISION</t>
  </si>
  <si>
    <t>BLENDED LEARNING FULFILLMENT RECORD</t>
  </si>
  <si>
    <r>
      <t xml:space="preserve">STP COMPONENTS
</t>
    </r>
    <r>
      <rPr>
        <b/>
        <sz val="8"/>
        <color theme="1"/>
        <rFont val="Calibri"/>
        <family val="2"/>
        <scheme val="minor"/>
      </rPr>
      <t>(RANCANGAN MENGAJAR SEMESTER)</t>
    </r>
  </si>
  <si>
    <r>
      <rPr>
        <b/>
        <sz val="12"/>
        <color theme="1"/>
        <rFont val="Calibri"/>
        <family val="2"/>
        <scheme val="minor"/>
      </rPr>
      <t xml:space="preserve">EDUCATIONAL eCONTENT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(PLEASE REFER TO BLDT BEFORE FILLING NEXT COLUMN)</t>
    </r>
  </si>
  <si>
    <t>AN INTRODUCTION TO THE COURSE AND ITS CONTENTS (PROGRAMME OVERVIEW &amp; COURSE OUTLINE).</t>
  </si>
  <si>
    <t>ALL ONLINE ITEMS THAT CAN BE USED TO SUPPORT LEARNING.</t>
  </si>
  <si>
    <t>VIDEO, PPT,  SCORM, LINKS, PDF,  WEB 2.0, ETC</t>
  </si>
  <si>
    <t>LABEL &amp; UPLOAD FILE, e.g.</t>
  </si>
  <si>
    <t xml:space="preserve">QUIZ, ASSIGNMENT, PORTFOLIO, FORUM, UPLOAD FILE </t>
  </si>
  <si>
    <t>UPLOADING FILE GREATER THAN 20 MB TO USE DROP BOX OR BY LINK. ALL EXCEPT SCORM.  (ALL ITEMS MUST USE/VIA CIDOS)</t>
  </si>
  <si>
    <t xml:space="preserve"> (ALL ITEMS MUST USE/VIA CIDOS)</t>
  </si>
  <si>
    <r>
      <t xml:space="preserve">INTRODUCTION
</t>
    </r>
    <r>
      <rPr>
        <b/>
        <sz val="8"/>
        <color theme="1"/>
        <rFont val="Calibri"/>
        <family val="2"/>
        <scheme val="minor"/>
      </rPr>
      <t>(NUMBER OF ITEM FIXED)</t>
    </r>
  </si>
  <si>
    <r>
      <t xml:space="preserve">ASSESSMENT/S
</t>
    </r>
    <r>
      <rPr>
        <b/>
        <sz val="8"/>
        <color theme="1"/>
        <rFont val="Calibri"/>
        <family val="2"/>
        <scheme val="minor"/>
      </rPr>
      <t>(NUMBER OF ITEMS FIXED)</t>
    </r>
  </si>
  <si>
    <t>ALL ONLINE ASSESSMENT ITEMS.</t>
  </si>
  <si>
    <t>NO. OF BL ITEMS TO BE CONDUCTED ONLINE (TO BE FILLED)</t>
  </si>
  <si>
    <t>* BL ITEMS RECORDED</t>
  </si>
  <si>
    <t>NO OF LOs IN THE BLDT</t>
  </si>
  <si>
    <t>NO OF eCC IN THE BLDT</t>
  </si>
  <si>
    <t>TOTAL</t>
  </si>
  <si>
    <t>COURSE NAME:HISTORY OF ARCHITECTURE</t>
  </si>
  <si>
    <t>INSTITUTION: PPD</t>
  </si>
  <si>
    <t>CODE: BA12345</t>
  </si>
  <si>
    <t>TOPICS/TITLES 
(TO BE FILLED BY COURSE LECTURERS)</t>
  </si>
  <si>
    <t>Suggestion: The BLFR is to be placed in the "FRP" for record purposes.</t>
  </si>
  <si>
    <t xml:space="preserve">1. AEM 2124:  What will you be learning in my course! </t>
  </si>
  <si>
    <t>1. Architecture and its Importance
2. Rebuilding The Colosseum : Roman  Buildings
x. You, Me and Architecture
4. The Malacca House</t>
  </si>
  <si>
    <t>1. Roman Vs. Greece
2. The Malacca House</t>
  </si>
  <si>
    <t>ALL ITEMS THAT STUDENTS WILL DO COLLABORATIVELY WITH/WITHOUT THE TUTOR (FACE TO FACE).</t>
  </si>
  <si>
    <t>ALL ITEMS THAT STUDENTS WILL DO COLLABORATIVELY WITH/WITHOUT THE TUTOR (ONLINE).</t>
  </si>
  <si>
    <r>
      <rPr>
        <b/>
        <sz val="12"/>
        <color theme="1"/>
        <rFont val="Calibri"/>
        <family val="2"/>
        <scheme val="minor"/>
      </rPr>
      <t xml:space="preserve">eCOLLABORATIVE CLASSROOM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(PLEASE REFER TO BLDT SECTION eCC/CC BEFORE FILLING NEXT COLUMN)</t>
    </r>
  </si>
  <si>
    <t>ANY STUDENT CENTERED LEARNING EXERCISE.</t>
  </si>
  <si>
    <t>NONE</t>
  </si>
  <si>
    <r>
      <t xml:space="preserve">COLLABORATIVE CLASSROOM (F2F)
</t>
    </r>
    <r>
      <rPr>
        <b/>
        <sz val="8"/>
        <color theme="1"/>
        <rFont val="Calibri"/>
        <family val="2"/>
        <scheme val="minor"/>
      </rPr>
      <t>(PLEASE REFER TO BLDT eCC/CC BEFORE FILLING NEXT COLUMN)</t>
    </r>
  </si>
  <si>
    <r>
      <t xml:space="preserve">COLLABORATIVE CLASSROOM (F2F)
</t>
    </r>
    <r>
      <rPr>
        <b/>
        <sz val="8"/>
        <rFont val="Calibri"/>
        <family val="2"/>
        <scheme val="minor"/>
      </rPr>
      <t>(PLEASE REFER TO BLDT SECTION eCC/CC BEFORE FILLING NEXT COLUMN)</t>
    </r>
  </si>
  <si>
    <t>1. Case Study
2. Problem Based Excercise
x. Project Based 
4. Site Visit/Case Study</t>
  </si>
  <si>
    <t>1. Online Quiz (Formative)
2. Online Assignment (Summative)</t>
  </si>
  <si>
    <t>1. Why do we build?
x. The Columns of Greece and Rome.
12. The Malay House</t>
  </si>
  <si>
    <t>1. Forum Discussion
x. Blog Portfolio
12. Youtube and Facebook</t>
  </si>
  <si>
    <r>
      <t xml:space="preserve">*MINIMUM REQUIREMENT FOR A BL COURSE = </t>
    </r>
    <r>
      <rPr>
        <b/>
        <sz val="14"/>
        <color theme="1"/>
        <rFont val="Calibri"/>
        <family val="2"/>
        <scheme val="minor"/>
      </rPr>
      <t>15</t>
    </r>
    <r>
      <rPr>
        <b/>
        <sz val="11"/>
        <color theme="1"/>
        <rFont val="Calibri"/>
        <family val="2"/>
        <scheme val="minor"/>
      </rPr>
      <t xml:space="preserve"> ITEMS</t>
    </r>
  </si>
  <si>
    <r>
      <t xml:space="preserve">*MINIMUM REQUIREMENT FOR A BL COURSE = </t>
    </r>
    <r>
      <rPr>
        <b/>
        <sz val="14"/>
        <color theme="1"/>
        <rFont val="Calibri"/>
        <family val="2"/>
        <scheme val="minor"/>
      </rPr>
      <t>15</t>
    </r>
    <r>
      <rPr>
        <b/>
        <sz val="10"/>
        <color theme="1"/>
        <rFont val="Calibri"/>
        <family val="2"/>
        <scheme val="minor"/>
      </rPr>
      <t xml:space="preserve"> ITEMS</t>
    </r>
  </si>
  <si>
    <t xml:space="preserve">1. Intro to Architecture
2. Roman Architecture
x. Asian Architecture
8. Conclusion </t>
  </si>
  <si>
    <t>CONTENT FORM/FORMAT (in MINUTES or HOURS)</t>
  </si>
  <si>
    <t>1.1 Video Intro1  (10 minutes)
1.2  Powerpoint (20 m)
1.3  Video Intro 2 (10m)
2. Learning Object (40m)
x. Pdf 
8.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</si>
</sst>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Eras Bold ITC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0" xfId="0" applyFill="1"/>
    <xf numFmtId="164" fontId="0" fillId="0" borderId="1" xfId="0" applyNumberFormat="1" applyBorder="1"/>
    <xf numFmtId="0" fontId="0" fillId="2" borderId="6" xfId="0" applyFill="1" applyBorder="1"/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10" borderId="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9" fontId="2" fillId="10" borderId="15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/>
    <xf numFmtId="16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 applyAlignment="1">
      <alignment horizontal="center" textRotation="255"/>
    </xf>
    <xf numFmtId="0" fontId="2" fillId="0" borderId="10" xfId="0" applyFont="1" applyBorder="1" applyAlignment="1">
      <alignment horizontal="center" vertical="center" wrapText="1"/>
    </xf>
    <xf numFmtId="1" fontId="0" fillId="12" borderId="4" xfId="0" applyNumberFormat="1" applyFill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/>
    <xf numFmtId="0" fontId="0" fillId="0" borderId="0" xfId="0" applyFill="1"/>
    <xf numFmtId="0" fontId="9" fillId="15" borderId="23" xfId="0" applyFont="1" applyFill="1" applyBorder="1" applyAlignment="1">
      <alignment horizontal="center" vertical="center"/>
    </xf>
    <xf numFmtId="0" fontId="9" fillId="15" borderId="22" xfId="0" applyFont="1" applyFill="1" applyBorder="1" applyAlignment="1">
      <alignment horizontal="center" vertical="center"/>
    </xf>
    <xf numFmtId="0" fontId="9" fillId="15" borderId="28" xfId="0" applyFont="1" applyFill="1" applyBorder="1" applyAlignment="1">
      <alignment horizontal="center" vertical="center"/>
    </xf>
    <xf numFmtId="0" fontId="0" fillId="15" borderId="0" xfId="0" applyFill="1"/>
    <xf numFmtId="0" fontId="11" fillId="15" borderId="0" xfId="0" applyFont="1" applyFill="1" applyAlignment="1">
      <alignment horizontal="center"/>
    </xf>
    <xf numFmtId="0" fontId="12" fillId="15" borderId="7" xfId="0" applyFont="1" applyFill="1" applyBorder="1" applyAlignment="1">
      <alignment horizontal="center"/>
    </xf>
    <xf numFmtId="0" fontId="2" fillId="15" borderId="0" xfId="0" applyFont="1" applyFill="1"/>
    <xf numFmtId="0" fontId="0" fillId="15" borderId="0" xfId="0" applyFill="1" applyBorder="1"/>
    <xf numFmtId="0" fontId="2" fillId="15" borderId="25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4" fillId="15" borderId="26" xfId="0" applyFont="1" applyFill="1" applyBorder="1" applyAlignment="1">
      <alignment horizontal="left" vertical="center" wrapText="1"/>
    </xf>
    <xf numFmtId="0" fontId="10" fillId="15" borderId="24" xfId="0" applyFont="1" applyFill="1" applyBorder="1" applyAlignment="1">
      <alignment horizontal="left" vertical="center" wrapText="1"/>
    </xf>
    <xf numFmtId="0" fontId="10" fillId="15" borderId="4" xfId="0" applyFont="1" applyFill="1" applyBorder="1" applyAlignment="1">
      <alignment horizontal="left" vertical="center" wrapText="1"/>
    </xf>
    <xf numFmtId="0" fontId="10" fillId="15" borderId="4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left" vertical="center" wrapText="1"/>
    </xf>
    <xf numFmtId="0" fontId="9" fillId="15" borderId="21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vertical="center" wrapText="1"/>
    </xf>
    <xf numFmtId="0" fontId="10" fillId="15" borderId="1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vertical="center" wrapText="1"/>
    </xf>
    <xf numFmtId="0" fontId="10" fillId="15" borderId="20" xfId="0" applyFont="1" applyFill="1" applyBorder="1" applyAlignment="1">
      <alignment horizontal="left" vertical="center" wrapText="1"/>
    </xf>
    <xf numFmtId="0" fontId="10" fillId="15" borderId="1" xfId="0" applyFont="1" applyFill="1" applyBorder="1" applyAlignment="1">
      <alignment horizontal="center" vertical="center"/>
    </xf>
    <xf numFmtId="0" fontId="4" fillId="15" borderId="27" xfId="0" applyFont="1" applyFill="1" applyBorder="1" applyAlignment="1">
      <alignment horizontal="left" vertical="center" wrapText="1"/>
    </xf>
    <xf numFmtId="0" fontId="15" fillId="15" borderId="25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3" fillId="15" borderId="0" xfId="0" applyFont="1" applyFill="1" applyBorder="1" applyAlignment="1">
      <alignment horizontal="center" vertical="center" wrapText="1"/>
    </xf>
    <xf numFmtId="0" fontId="13" fillId="15" borderId="20" xfId="0" applyFont="1" applyFill="1" applyBorder="1" applyAlignment="1">
      <alignment horizontal="center"/>
    </xf>
    <xf numFmtId="0" fontId="9" fillId="15" borderId="30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left" vertical="center" wrapText="1"/>
    </xf>
    <xf numFmtId="0" fontId="11" fillId="15" borderId="0" xfId="0" applyFont="1" applyFill="1" applyAlignment="1">
      <alignment horizontal="center"/>
    </xf>
    <xf numFmtId="0" fontId="19" fillId="15" borderId="20" xfId="0" applyFont="1" applyFill="1" applyBorder="1" applyAlignment="1">
      <alignment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vertical="center" wrapText="1"/>
    </xf>
    <xf numFmtId="0" fontId="10" fillId="15" borderId="20" xfId="0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 wrapText="1"/>
    </xf>
    <xf numFmtId="1" fontId="1" fillId="10" borderId="1" xfId="0" applyNumberFormat="1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center" vertical="center"/>
    </xf>
    <xf numFmtId="0" fontId="9" fillId="15" borderId="7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vertical="center"/>
    </xf>
    <xf numFmtId="0" fontId="16" fillId="15" borderId="0" xfId="0" applyFont="1" applyFill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" fontId="7" fillId="11" borderId="2" xfId="0" applyNumberFormat="1" applyFont="1" applyFill="1" applyBorder="1" applyAlignment="1">
      <alignment horizontal="center" vertical="center"/>
    </xf>
    <xf numFmtId="1" fontId="7" fillId="11" borderId="3" xfId="0" applyNumberFormat="1" applyFont="1" applyFill="1" applyBorder="1" applyAlignment="1">
      <alignment horizontal="center" vertical="center"/>
    </xf>
    <xf numFmtId="1" fontId="7" fillId="11" borderId="4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13" borderId="2" xfId="0" applyNumberFormat="1" applyFill="1" applyBorder="1" applyAlignment="1">
      <alignment horizontal="center" vertical="center"/>
    </xf>
    <xf numFmtId="1" fontId="0" fillId="13" borderId="3" xfId="0" applyNumberFormat="1" applyFill="1" applyBorder="1" applyAlignment="1">
      <alignment horizontal="center" vertical="center"/>
    </xf>
    <xf numFmtId="1" fontId="0" fillId="13" borderId="4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15" borderId="19" xfId="0" applyFont="1" applyFill="1" applyBorder="1" applyAlignment="1">
      <alignment horizontal="center" vertical="center" wrapText="1"/>
    </xf>
    <xf numFmtId="0" fontId="14" fillId="15" borderId="20" xfId="0" applyFont="1" applyFill="1" applyBorder="1" applyAlignment="1">
      <alignment horizontal="center" vertical="center" wrapText="1"/>
    </xf>
    <xf numFmtId="0" fontId="16" fillId="15" borderId="0" xfId="0" applyFont="1" applyFill="1" applyAlignment="1">
      <alignment horizontal="left" vertical="center"/>
    </xf>
    <xf numFmtId="0" fontId="16" fillId="15" borderId="0" xfId="0" applyFont="1" applyFill="1" applyAlignment="1">
      <alignment horizontal="left"/>
    </xf>
    <xf numFmtId="0" fontId="19" fillId="15" borderId="6" xfId="0" applyFont="1" applyFill="1" applyBorder="1" applyAlignment="1">
      <alignment horizontal="left" vertical="center" wrapText="1"/>
    </xf>
    <xf numFmtId="0" fontId="10" fillId="15" borderId="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right"/>
    </xf>
    <xf numFmtId="0" fontId="11" fillId="15" borderId="0" xfId="0" applyFont="1" applyFill="1" applyAlignment="1">
      <alignment horizontal="center"/>
    </xf>
    <xf numFmtId="0" fontId="13" fillId="15" borderId="19" xfId="0" applyFont="1" applyFill="1" applyBorder="1" applyAlignment="1">
      <alignment horizontal="left" vertical="center"/>
    </xf>
    <xf numFmtId="0" fontId="13" fillId="15" borderId="6" xfId="0" applyFont="1" applyFill="1" applyBorder="1" applyAlignment="1">
      <alignment horizontal="left" vertical="center"/>
    </xf>
    <xf numFmtId="0" fontId="2" fillId="15" borderId="19" xfId="0" applyFont="1" applyFill="1" applyBorder="1" applyAlignment="1">
      <alignment horizontal="center" vertical="center" wrapText="1"/>
    </xf>
    <xf numFmtId="0" fontId="2" fillId="15" borderId="2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15" borderId="29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left" vertical="center" wrapText="1"/>
    </xf>
    <xf numFmtId="0" fontId="17" fillId="15" borderId="0" xfId="0" applyFont="1" applyFill="1" applyBorder="1" applyAlignment="1">
      <alignment horizontal="right"/>
    </xf>
    <xf numFmtId="0" fontId="19" fillId="15" borderId="29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9" fillId="15" borderId="2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828674</xdr:colOff>
      <xdr:row>0</xdr:row>
      <xdr:rowOff>22515</xdr:rowOff>
    </xdr:from>
    <xdr:to>
      <xdr:col>5</xdr:col>
      <xdr:colOff>167551</xdr:colOff>
      <xdr:row>1</xdr:row>
      <xdr:rowOff>103910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49" y="22515"/>
          <a:ext cx="786677" cy="481445"/>
        </a:xfrm>
        <a:prstGeom prst="rect">
          <a:avLst/>
        </a:prstGeom>
      </xdr:spPr>
    </xdr:pic>
    <xdr:clientData/>
  </xdr:twoCellAnchor>
  <xdr:twoCellAnchor editAs="oneCell">
    <xdr:from>
      <xdr:col>2</xdr:col>
      <xdr:colOff>1658295</xdr:colOff>
      <xdr:row>0</xdr:row>
      <xdr:rowOff>238125</xdr:rowOff>
    </xdr:from>
    <xdr:to>
      <xdr:col>3</xdr:col>
      <xdr:colOff>1117939</xdr:colOff>
      <xdr:row>1</xdr:row>
      <xdr:rowOff>235927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670" y="238125"/>
          <a:ext cx="1745644" cy="397852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15</xdr:row>
      <xdr:rowOff>114300</xdr:rowOff>
    </xdr:from>
    <xdr:to>
      <xdr:col>2</xdr:col>
      <xdr:colOff>2000250</xdr:colOff>
      <xdr:row>20</xdr:row>
      <xdr:rowOff>171450</xdr:rowOff>
    </xdr:to>
    <xdr:sp macro="" textlink="">
      <xdr:nvSpPr>
        <xdr:cNvPr id="5" name="TextBox 4"/>
        <xdr:cNvSpPr txBox="1"/>
      </xdr:nvSpPr>
      <xdr:spPr>
        <a:xfrm>
          <a:off x="323850" y="5562600"/>
          <a:ext cx="20097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Disediakan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</a:t>
          </a:r>
        </a:p>
        <a:p>
          <a:r>
            <a:rPr lang="en-MY" sz="1100" baseline="0"/>
            <a:t>Pensyarah Kursus</a:t>
          </a:r>
          <a:endParaRPr lang="en-MY" sz="1100"/>
        </a:p>
      </xdr:txBody>
    </xdr:sp>
    <xdr:clientData/>
  </xdr:twoCellAnchor>
  <xdr:twoCellAnchor>
    <xdr:from>
      <xdr:col>5</xdr:col>
      <xdr:colOff>1066800</xdr:colOff>
      <xdr:row>15</xdr:row>
      <xdr:rowOff>76200</xdr:rowOff>
    </xdr:from>
    <xdr:to>
      <xdr:col>7</xdr:col>
      <xdr:colOff>0</xdr:colOff>
      <xdr:row>20</xdr:row>
      <xdr:rowOff>161925</xdr:rowOff>
    </xdr:to>
    <xdr:sp macro="" textlink="">
      <xdr:nvSpPr>
        <xdr:cNvPr id="6" name="TextBox 5"/>
        <xdr:cNvSpPr txBox="1"/>
      </xdr:nvSpPr>
      <xdr:spPr>
        <a:xfrm>
          <a:off x="6315075" y="5305425"/>
          <a:ext cx="224790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Disahkan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____________________________</a:t>
          </a:r>
        </a:p>
        <a:p>
          <a:r>
            <a:rPr lang="en-MY" sz="1100" baseline="0"/>
            <a:t>Ketua Program/Ketua Jabatan/TPA</a:t>
          </a:r>
          <a:endParaRPr lang="en-MY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987129</xdr:colOff>
      <xdr:row>0</xdr:row>
      <xdr:rowOff>57150</xdr:rowOff>
    </xdr:from>
    <xdr:to>
      <xdr:col>5</xdr:col>
      <xdr:colOff>326006</xdr:colOff>
      <xdr:row>1</xdr:row>
      <xdr:rowOff>103909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7604" y="57150"/>
          <a:ext cx="786677" cy="484909"/>
        </a:xfrm>
        <a:prstGeom prst="rect">
          <a:avLst/>
        </a:prstGeom>
      </xdr:spPr>
    </xdr:pic>
    <xdr:clientData/>
  </xdr:twoCellAnchor>
  <xdr:twoCellAnchor editAs="oneCell">
    <xdr:from>
      <xdr:col>2</xdr:col>
      <xdr:colOff>1466837</xdr:colOff>
      <xdr:row>0</xdr:row>
      <xdr:rowOff>232395</xdr:rowOff>
    </xdr:from>
    <xdr:to>
      <xdr:col>3</xdr:col>
      <xdr:colOff>1104322</xdr:colOff>
      <xdr:row>1</xdr:row>
      <xdr:rowOff>238125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12" y="232395"/>
          <a:ext cx="1923485" cy="443880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18</xdr:row>
      <xdr:rowOff>0</xdr:rowOff>
    </xdr:from>
    <xdr:to>
      <xdr:col>6</xdr:col>
      <xdr:colOff>2257425</xdr:colOff>
      <xdr:row>23</xdr:row>
      <xdr:rowOff>95250</xdr:rowOff>
    </xdr:to>
    <xdr:sp macro="" textlink="">
      <xdr:nvSpPr>
        <xdr:cNvPr id="4" name="TextBox 3"/>
        <xdr:cNvSpPr txBox="1"/>
      </xdr:nvSpPr>
      <xdr:spPr>
        <a:xfrm>
          <a:off x="6305550" y="5800725"/>
          <a:ext cx="2247900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Disahkan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____________________________</a:t>
          </a:r>
        </a:p>
        <a:p>
          <a:r>
            <a:rPr lang="en-MY" sz="1100" baseline="0"/>
            <a:t>Ketua Program/Ketua Jabatan/TPA</a:t>
          </a:r>
          <a:endParaRPr lang="en-MY" sz="1100"/>
        </a:p>
      </xdr:txBody>
    </xdr:sp>
    <xdr:clientData/>
  </xdr:twoCellAnchor>
  <xdr:twoCellAnchor>
    <xdr:from>
      <xdr:col>2</xdr:col>
      <xdr:colOff>0</xdr:colOff>
      <xdr:row>18</xdr:row>
      <xdr:rowOff>66675</xdr:rowOff>
    </xdr:from>
    <xdr:to>
      <xdr:col>2</xdr:col>
      <xdr:colOff>2009775</xdr:colOff>
      <xdr:row>23</xdr:row>
      <xdr:rowOff>123825</xdr:rowOff>
    </xdr:to>
    <xdr:sp macro="" textlink="">
      <xdr:nvSpPr>
        <xdr:cNvPr id="8" name="TextBox 7"/>
        <xdr:cNvSpPr txBox="1"/>
      </xdr:nvSpPr>
      <xdr:spPr>
        <a:xfrm>
          <a:off x="333375" y="5915025"/>
          <a:ext cx="20097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Disediakan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</a:t>
          </a:r>
        </a:p>
        <a:p>
          <a:r>
            <a:rPr lang="en-MY" sz="1100" baseline="0"/>
            <a:t>Pensyarah Kursus</a:t>
          </a:r>
          <a:endParaRPr lang="en-MY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923925</xdr:colOff>
      <xdr:row>0</xdr:row>
      <xdr:rowOff>57151</xdr:rowOff>
    </xdr:from>
    <xdr:to>
      <xdr:col>5</xdr:col>
      <xdr:colOff>285750</xdr:colOff>
      <xdr:row>1</xdr:row>
      <xdr:rowOff>66279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57151"/>
          <a:ext cx="809625" cy="447278"/>
        </a:xfrm>
        <a:prstGeom prst="rect">
          <a:avLst/>
        </a:prstGeom>
      </xdr:spPr>
    </xdr:pic>
    <xdr:clientData/>
  </xdr:twoCellAnchor>
  <xdr:twoCellAnchor editAs="oneCell">
    <xdr:from>
      <xdr:col>2</xdr:col>
      <xdr:colOff>1581361</xdr:colOff>
      <xdr:row>0</xdr:row>
      <xdr:rowOff>200025</xdr:rowOff>
    </xdr:from>
    <xdr:to>
      <xdr:col>3</xdr:col>
      <xdr:colOff>1089341</xdr:colOff>
      <xdr:row>1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736" y="200025"/>
          <a:ext cx="1793980" cy="4381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17</xdr:row>
      <xdr:rowOff>95250</xdr:rowOff>
    </xdr:from>
    <xdr:to>
      <xdr:col>7</xdr:col>
      <xdr:colOff>561975</xdr:colOff>
      <xdr:row>22</xdr:row>
      <xdr:rowOff>180975</xdr:rowOff>
    </xdr:to>
    <xdr:sp macro="" textlink="">
      <xdr:nvSpPr>
        <xdr:cNvPr id="4" name="TextBox 3"/>
        <xdr:cNvSpPr txBox="1"/>
      </xdr:nvSpPr>
      <xdr:spPr>
        <a:xfrm>
          <a:off x="6248400" y="5172075"/>
          <a:ext cx="224790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Disahkan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____________________________</a:t>
          </a:r>
        </a:p>
        <a:p>
          <a:r>
            <a:rPr lang="en-MY" sz="1100" baseline="0"/>
            <a:t>Ketua Program/Ketua Jabatan/TPA</a:t>
          </a:r>
          <a:endParaRPr lang="en-MY" sz="1100"/>
        </a:p>
      </xdr:txBody>
    </xdr:sp>
    <xdr:clientData/>
  </xdr:twoCellAnchor>
  <xdr:twoCellAnchor>
    <xdr:from>
      <xdr:col>2</xdr:col>
      <xdr:colOff>9525</xdr:colOff>
      <xdr:row>17</xdr:row>
      <xdr:rowOff>114300</xdr:rowOff>
    </xdr:from>
    <xdr:to>
      <xdr:col>2</xdr:col>
      <xdr:colOff>2019300</xdr:colOff>
      <xdr:row>22</xdr:row>
      <xdr:rowOff>171450</xdr:rowOff>
    </xdr:to>
    <xdr:sp macro="" textlink="">
      <xdr:nvSpPr>
        <xdr:cNvPr id="6" name="TextBox 5"/>
        <xdr:cNvSpPr txBox="1"/>
      </xdr:nvSpPr>
      <xdr:spPr>
        <a:xfrm>
          <a:off x="342900" y="5191125"/>
          <a:ext cx="20097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MY" sz="1100"/>
            <a:t>Disediakan</a:t>
          </a:r>
          <a:r>
            <a:rPr lang="en-MY" sz="1100" baseline="0"/>
            <a:t> oleh:</a:t>
          </a:r>
        </a:p>
        <a:p>
          <a:endParaRPr lang="en-MY" sz="1100" baseline="0"/>
        </a:p>
        <a:p>
          <a:endParaRPr lang="en-MY" sz="1100" baseline="0"/>
        </a:p>
        <a:p>
          <a:r>
            <a:rPr lang="en-MY" sz="1100" baseline="0"/>
            <a:t>________________________</a:t>
          </a:r>
        </a:p>
        <a:p>
          <a:r>
            <a:rPr lang="en-MY" sz="1100" baseline="0"/>
            <a:t>Pensyarah Kursus</a:t>
          </a:r>
          <a:endParaRPr lang="en-MY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zoomScale="80" zoomScaleNormal="80" workbookViewId="0">
      <selection sqref="A1:XFD1048576"/>
    </sheetView>
  </sheetViews>
  <sheetFormatPr defaultRowHeight="15" x14ac:dyDescent="0.25"/>
  <cols>
    <col min="1" max="1" width="2.140625" customWidth="1"/>
    <col min="2" max="2" width="4" customWidth="1"/>
    <col min="3" max="3" width="6" customWidth="1"/>
    <col min="4" max="4" width="11.85546875" customWidth="1"/>
    <col min="5" max="5" width="12.7109375" customWidth="1"/>
    <col min="6" max="6" width="12.42578125" customWidth="1"/>
    <col min="7" max="7" width="15.42578125" customWidth="1"/>
    <col min="8" max="8" width="9.140625" customWidth="1"/>
    <col min="9" max="9" width="18" customWidth="1"/>
    <col min="10" max="10" width="2.7109375" customWidth="1"/>
    <col min="11" max="11" width="12.7109375" customWidth="1"/>
    <col min="12" max="12" width="8.42578125" customWidth="1"/>
    <col min="13" max="13" width="7.42578125" customWidth="1"/>
    <col min="14" max="14" width="6.85546875" customWidth="1"/>
    <col min="15" max="15" width="3.7109375" customWidth="1"/>
    <col min="16" max="16" width="8" customWidth="1"/>
    <col min="17" max="17" width="13" customWidth="1"/>
    <col min="18" max="18" width="9.85546875" customWidth="1"/>
    <col min="19" max="19" width="13.5703125" customWidth="1"/>
    <col min="20" max="20" width="8.7109375" customWidth="1"/>
  </cols>
  <sheetData>
    <row r="1" spans="2:20" ht="21" x14ac:dyDescent="0.25">
      <c r="D1" s="107" t="s">
        <v>41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2:20" ht="4.5" customHeight="1" x14ac:dyDescent="0.25"/>
    <row r="3" spans="2:20" ht="15.75" thickBot="1" x14ac:dyDescent="0.3">
      <c r="D3" s="109" t="s">
        <v>42</v>
      </c>
      <c r="E3" s="109"/>
      <c r="F3" s="109"/>
      <c r="G3" s="109"/>
      <c r="H3" s="109"/>
      <c r="I3" s="109"/>
      <c r="K3" s="110" t="s">
        <v>44</v>
      </c>
      <c r="L3" s="110"/>
      <c r="M3" s="110"/>
      <c r="N3" s="110"/>
      <c r="O3" s="110"/>
      <c r="P3" s="110"/>
      <c r="Q3" s="110"/>
      <c r="R3" s="40" t="s">
        <v>48</v>
      </c>
      <c r="S3" s="39" t="s">
        <v>23</v>
      </c>
    </row>
    <row r="4" spans="2:20" ht="45" customHeight="1" thickBot="1" x14ac:dyDescent="0.75">
      <c r="C4" s="42" t="s">
        <v>55</v>
      </c>
      <c r="D4" s="16" t="s">
        <v>12</v>
      </c>
      <c r="E4" s="17" t="s">
        <v>0</v>
      </c>
      <c r="F4" s="17" t="s">
        <v>51</v>
      </c>
      <c r="G4" s="15" t="s">
        <v>1</v>
      </c>
      <c r="H4" s="18">
        <v>0.5</v>
      </c>
      <c r="I4" s="47" t="s">
        <v>58</v>
      </c>
      <c r="J4" s="8"/>
      <c r="K4" s="50" t="s">
        <v>59</v>
      </c>
      <c r="L4" s="11"/>
      <c r="M4" s="10" t="s">
        <v>5</v>
      </c>
      <c r="N4" s="11"/>
      <c r="O4" s="12"/>
      <c r="P4" s="13" t="s">
        <v>15</v>
      </c>
      <c r="Q4" s="13" t="s">
        <v>57</v>
      </c>
      <c r="R4" s="111">
        <f>SUM(P5+P9+P24+P35)</f>
        <v>49.994561972744975</v>
      </c>
      <c r="S4" s="113">
        <f>SUM(I40/4150)*100</f>
        <v>52.385542168674704</v>
      </c>
    </row>
    <row r="5" spans="2:20" ht="15.75" x14ac:dyDescent="0.25">
      <c r="B5" s="2">
        <v>1</v>
      </c>
      <c r="C5" s="24" t="str">
        <f>IF(M5&lt;60,"x (",":-)")</f>
        <v>:-)</v>
      </c>
      <c r="D5" s="30" t="s">
        <v>2</v>
      </c>
      <c r="E5" s="9">
        <v>19</v>
      </c>
      <c r="F5" s="9">
        <f>SUM(E5*20)</f>
        <v>380</v>
      </c>
      <c r="G5" s="9">
        <f>SUM(F5+6)</f>
        <v>386</v>
      </c>
      <c r="H5" s="9">
        <f>SUM(G5*0.5)</f>
        <v>193</v>
      </c>
      <c r="I5" s="45">
        <v>193</v>
      </c>
      <c r="J5" s="6"/>
      <c r="K5" s="116">
        <v>499</v>
      </c>
      <c r="L5" s="7">
        <f>SUM(100/H5)</f>
        <v>0.51813471502590669</v>
      </c>
      <c r="M5" s="5">
        <f>SUM(0.518*I5)</f>
        <v>99.974000000000004</v>
      </c>
      <c r="N5" s="4">
        <f>SUM(I5/499)</f>
        <v>0.38677354709418837</v>
      </c>
      <c r="O5" s="5">
        <f>SUM(N5*15)</f>
        <v>5.8016032064128256</v>
      </c>
      <c r="P5" s="117">
        <f>SUM(O5+O6+O7)</f>
        <v>15</v>
      </c>
      <c r="Q5" s="118" t="str">
        <f>IF(P5&gt;14,"CAPAI","TIDAK CAPAI")</f>
        <v>CAPAI</v>
      </c>
      <c r="R5" s="111"/>
      <c r="S5" s="114"/>
    </row>
    <row r="6" spans="2:20" ht="15.75" x14ac:dyDescent="0.25">
      <c r="B6" s="2">
        <v>2</v>
      </c>
      <c r="C6" s="24" t="str">
        <f>IF(M6&lt;60,"x (",":-)")</f>
        <v>:-)</v>
      </c>
      <c r="D6" s="31" t="s">
        <v>3</v>
      </c>
      <c r="E6" s="2">
        <v>18</v>
      </c>
      <c r="F6" s="9">
        <f>SUM(E6*20)</f>
        <v>360</v>
      </c>
      <c r="G6" s="2">
        <f t="shared" ref="G6:G39" si="0">SUM(F6+6)</f>
        <v>366</v>
      </c>
      <c r="H6" s="2">
        <f t="shared" ref="H6:H39" si="1">SUM(G6)*0.5</f>
        <v>183</v>
      </c>
      <c r="I6" s="46">
        <v>183</v>
      </c>
      <c r="J6" s="6"/>
      <c r="K6" s="116"/>
      <c r="L6" s="7">
        <f t="shared" ref="L6:L33" si="2">SUM(100/H6)</f>
        <v>0.54644808743169404</v>
      </c>
      <c r="M6" s="5">
        <f>SUM(0.546*I6)</f>
        <v>99.918000000000006</v>
      </c>
      <c r="N6" s="4">
        <f>SUM(I6/499)</f>
        <v>0.36673346693386771</v>
      </c>
      <c r="O6" s="5">
        <f>SUM(N6*15)</f>
        <v>5.5010020040080159</v>
      </c>
      <c r="P6" s="117"/>
      <c r="Q6" s="118"/>
      <c r="R6" s="111"/>
      <c r="S6" s="114"/>
    </row>
    <row r="7" spans="2:20" ht="12.75" customHeight="1" thickBot="1" x14ac:dyDescent="0.3">
      <c r="B7" s="2">
        <v>3</v>
      </c>
      <c r="C7" s="24" t="str">
        <f>IF(M7&lt;60,"x (",":-)")</f>
        <v>:-)</v>
      </c>
      <c r="D7" s="31" t="s">
        <v>4</v>
      </c>
      <c r="E7" s="2">
        <v>12</v>
      </c>
      <c r="F7" s="9">
        <f>SUM(E7*20)</f>
        <v>240</v>
      </c>
      <c r="G7" s="2">
        <f t="shared" si="0"/>
        <v>246</v>
      </c>
      <c r="H7" s="2">
        <f t="shared" si="1"/>
        <v>123</v>
      </c>
      <c r="I7" s="46">
        <v>123</v>
      </c>
      <c r="J7" s="6"/>
      <c r="K7" s="116"/>
      <c r="L7" s="7">
        <f t="shared" si="2"/>
        <v>0.81300813008130079</v>
      </c>
      <c r="M7" s="5">
        <f>SUM(0.813*I7)</f>
        <v>99.998999999999995</v>
      </c>
      <c r="N7" s="4">
        <f>SUM(I7/499)</f>
        <v>0.24649298597194388</v>
      </c>
      <c r="O7" s="5">
        <f>SUM(N7*15)</f>
        <v>3.6973947895791581</v>
      </c>
      <c r="P7" s="117"/>
      <c r="Q7" s="118"/>
      <c r="R7" s="111"/>
      <c r="S7" s="114"/>
      <c r="T7" s="54">
        <f>SUM(H5:H7)</f>
        <v>499</v>
      </c>
    </row>
    <row r="8" spans="2:20" ht="51.75" customHeight="1" thickBot="1" x14ac:dyDescent="0.3">
      <c r="C8" s="43" t="s">
        <v>54</v>
      </c>
      <c r="D8" s="16" t="s">
        <v>11</v>
      </c>
      <c r="E8" s="17" t="s">
        <v>0</v>
      </c>
      <c r="F8" s="14" t="s">
        <v>50</v>
      </c>
      <c r="G8" s="15" t="s">
        <v>1</v>
      </c>
      <c r="H8" s="18">
        <v>0.5</v>
      </c>
      <c r="I8" s="47" t="s">
        <v>56</v>
      </c>
      <c r="J8" s="6"/>
      <c r="K8" s="51" t="s">
        <v>60</v>
      </c>
      <c r="L8" s="11"/>
      <c r="M8" s="10" t="s">
        <v>5</v>
      </c>
      <c r="N8" s="11"/>
      <c r="O8" s="12"/>
      <c r="P8" s="13" t="s">
        <v>14</v>
      </c>
      <c r="Q8" s="13" t="s">
        <v>57</v>
      </c>
      <c r="R8" s="111"/>
      <c r="S8" s="114"/>
    </row>
    <row r="9" spans="2:20" ht="15.75" x14ac:dyDescent="0.25">
      <c r="B9" s="2">
        <v>4</v>
      </c>
      <c r="C9" s="23" t="str">
        <f>IF(M9&lt;60,"X (",":-)")</f>
        <v>:-)</v>
      </c>
      <c r="D9" s="27" t="s">
        <v>6</v>
      </c>
      <c r="E9" s="2">
        <v>14</v>
      </c>
      <c r="F9" s="2">
        <f>SUM(E9*15)</f>
        <v>210</v>
      </c>
      <c r="G9" s="2">
        <f t="shared" si="0"/>
        <v>216</v>
      </c>
      <c r="H9" s="2">
        <f t="shared" si="1"/>
        <v>108</v>
      </c>
      <c r="I9" s="46">
        <v>108</v>
      </c>
      <c r="J9" s="6"/>
      <c r="K9" s="119">
        <v>1340</v>
      </c>
      <c r="L9" s="3">
        <f t="shared" si="2"/>
        <v>0.92592592592592593</v>
      </c>
      <c r="M9" s="5">
        <f>SUM(0.926*I9)</f>
        <v>100.00800000000001</v>
      </c>
      <c r="N9" s="4">
        <f>SUM(I9/1340)</f>
        <v>8.0597014925373134E-2</v>
      </c>
      <c r="O9" s="5">
        <f>SUM(N9*10)</f>
        <v>0.80597014925373134</v>
      </c>
      <c r="P9" s="122">
        <f>SUM(O9:O22)</f>
        <v>10.022388059701495</v>
      </c>
      <c r="Q9" s="125" t="str">
        <f>IF(P9&gt;9,"CAPAI","TIDAK CAPAI")</f>
        <v>CAPAI</v>
      </c>
      <c r="R9" s="111"/>
      <c r="S9" s="114"/>
    </row>
    <row r="10" spans="2:20" ht="15.75" x14ac:dyDescent="0.25">
      <c r="B10" s="2">
        <v>5</v>
      </c>
      <c r="C10" s="23" t="str">
        <f t="shared" ref="C10:C22" si="3">IF(M10&lt;60,"X (",":-)")</f>
        <v>:-)</v>
      </c>
      <c r="D10" s="27" t="s">
        <v>7</v>
      </c>
      <c r="E10" s="2">
        <v>12</v>
      </c>
      <c r="F10" s="2">
        <f t="shared" ref="F10:F22" si="4">SUM(E10*15)</f>
        <v>180</v>
      </c>
      <c r="G10" s="2">
        <f t="shared" si="0"/>
        <v>186</v>
      </c>
      <c r="H10" s="2">
        <f t="shared" si="1"/>
        <v>93</v>
      </c>
      <c r="I10" s="46">
        <v>93</v>
      </c>
      <c r="J10" s="6"/>
      <c r="K10" s="120"/>
      <c r="L10" s="3">
        <f t="shared" si="2"/>
        <v>1.075268817204301</v>
      </c>
      <c r="M10" s="5">
        <f>SUM(1.075*I10)</f>
        <v>99.974999999999994</v>
      </c>
      <c r="N10" s="4">
        <f t="shared" ref="N10:N22" si="5">SUM(I10/1340)</f>
        <v>6.9402985074626861E-2</v>
      </c>
      <c r="O10" s="5">
        <f t="shared" ref="O10:O22" si="6">SUM(N10*10)</f>
        <v>0.69402985074626855</v>
      </c>
      <c r="P10" s="123"/>
      <c r="Q10" s="105"/>
      <c r="R10" s="111"/>
      <c r="S10" s="114"/>
    </row>
    <row r="11" spans="2:20" ht="15.75" x14ac:dyDescent="0.25">
      <c r="B11" s="2">
        <v>6</v>
      </c>
      <c r="C11" s="23" t="str">
        <f t="shared" si="3"/>
        <v>:-)</v>
      </c>
      <c r="D11" s="27" t="s">
        <v>8</v>
      </c>
      <c r="E11" s="2">
        <v>13</v>
      </c>
      <c r="F11" s="2">
        <f t="shared" si="4"/>
        <v>195</v>
      </c>
      <c r="G11" s="2">
        <f t="shared" si="0"/>
        <v>201</v>
      </c>
      <c r="H11" s="5">
        <f t="shared" si="1"/>
        <v>100.5</v>
      </c>
      <c r="I11" s="46">
        <v>101</v>
      </c>
      <c r="J11" s="6"/>
      <c r="K11" s="120"/>
      <c r="L11" s="3">
        <f t="shared" si="2"/>
        <v>0.99502487562189057</v>
      </c>
      <c r="M11" s="5">
        <f>SUM(0.995*I11)</f>
        <v>100.495</v>
      </c>
      <c r="N11" s="4">
        <f t="shared" si="5"/>
        <v>7.537313432835821E-2</v>
      </c>
      <c r="O11" s="5">
        <f t="shared" si="6"/>
        <v>0.75373134328358216</v>
      </c>
      <c r="P11" s="123"/>
      <c r="Q11" s="105"/>
      <c r="R11" s="111"/>
      <c r="S11" s="114"/>
    </row>
    <row r="12" spans="2:20" ht="15.75" x14ac:dyDescent="0.25">
      <c r="B12" s="2">
        <v>7</v>
      </c>
      <c r="C12" s="23" t="str">
        <f t="shared" si="3"/>
        <v>:-)</v>
      </c>
      <c r="D12" s="27" t="s">
        <v>9</v>
      </c>
      <c r="E12" s="2">
        <v>12</v>
      </c>
      <c r="F12" s="2">
        <f t="shared" si="4"/>
        <v>180</v>
      </c>
      <c r="G12" s="2">
        <f t="shared" si="0"/>
        <v>186</v>
      </c>
      <c r="H12" s="2">
        <f t="shared" si="1"/>
        <v>93</v>
      </c>
      <c r="I12" s="46">
        <v>93</v>
      </c>
      <c r="J12" s="6"/>
      <c r="K12" s="120"/>
      <c r="L12" s="3">
        <f t="shared" si="2"/>
        <v>1.075268817204301</v>
      </c>
      <c r="M12" s="5">
        <f>SUM(1.075*I12)</f>
        <v>99.974999999999994</v>
      </c>
      <c r="N12" s="4">
        <f t="shared" si="5"/>
        <v>6.9402985074626861E-2</v>
      </c>
      <c r="O12" s="5">
        <f t="shared" si="6"/>
        <v>0.69402985074626855</v>
      </c>
      <c r="P12" s="123"/>
      <c r="Q12" s="105"/>
      <c r="R12" s="111"/>
      <c r="S12" s="114"/>
    </row>
    <row r="13" spans="2:20" ht="15.75" x14ac:dyDescent="0.25">
      <c r="B13" s="2">
        <v>8</v>
      </c>
      <c r="C13" s="23" t="str">
        <f t="shared" si="3"/>
        <v>:-)</v>
      </c>
      <c r="D13" s="27" t="s">
        <v>24</v>
      </c>
      <c r="E13" s="2">
        <v>15</v>
      </c>
      <c r="F13" s="2">
        <f t="shared" si="4"/>
        <v>225</v>
      </c>
      <c r="G13" s="2">
        <f t="shared" si="0"/>
        <v>231</v>
      </c>
      <c r="H13" s="5">
        <f t="shared" si="1"/>
        <v>115.5</v>
      </c>
      <c r="I13" s="46">
        <v>116</v>
      </c>
      <c r="J13" s="6"/>
      <c r="K13" s="120"/>
      <c r="L13" s="3">
        <f t="shared" si="2"/>
        <v>0.86580086580086579</v>
      </c>
      <c r="M13" s="5">
        <f>SUM(0.866*I13)</f>
        <v>100.456</v>
      </c>
      <c r="N13" s="4">
        <f t="shared" si="5"/>
        <v>8.6567164179104483E-2</v>
      </c>
      <c r="O13" s="5">
        <f t="shared" si="6"/>
        <v>0.86567164179104483</v>
      </c>
      <c r="P13" s="123"/>
      <c r="Q13" s="105"/>
      <c r="R13" s="111"/>
      <c r="S13" s="114"/>
    </row>
    <row r="14" spans="2:20" ht="15.75" x14ac:dyDescent="0.25">
      <c r="B14" s="2">
        <v>9</v>
      </c>
      <c r="C14" s="23" t="str">
        <f t="shared" si="3"/>
        <v>:-)</v>
      </c>
      <c r="D14" s="27" t="s">
        <v>25</v>
      </c>
      <c r="E14" s="2">
        <v>11</v>
      </c>
      <c r="F14" s="2">
        <f t="shared" si="4"/>
        <v>165</v>
      </c>
      <c r="G14" s="2">
        <f t="shared" si="0"/>
        <v>171</v>
      </c>
      <c r="H14" s="5">
        <f t="shared" si="1"/>
        <v>85.5</v>
      </c>
      <c r="I14" s="46">
        <v>86</v>
      </c>
      <c r="J14" s="6"/>
      <c r="K14" s="120"/>
      <c r="L14" s="3">
        <f t="shared" si="2"/>
        <v>1.1695906432748537</v>
      </c>
      <c r="M14" s="5">
        <f>SUM(1.168*I14)</f>
        <v>100.44799999999999</v>
      </c>
      <c r="N14" s="4">
        <f t="shared" si="5"/>
        <v>6.4179104477611937E-2</v>
      </c>
      <c r="O14" s="5">
        <f t="shared" si="6"/>
        <v>0.64179104477611937</v>
      </c>
      <c r="P14" s="123"/>
      <c r="Q14" s="105"/>
      <c r="R14" s="111"/>
      <c r="S14" s="114"/>
    </row>
    <row r="15" spans="2:20" ht="15.75" x14ac:dyDescent="0.25">
      <c r="B15" s="2">
        <v>10</v>
      </c>
      <c r="C15" s="23" t="str">
        <f t="shared" si="3"/>
        <v>:-)</v>
      </c>
      <c r="D15" s="27" t="s">
        <v>26</v>
      </c>
      <c r="E15" s="2">
        <v>13</v>
      </c>
      <c r="F15" s="2">
        <f t="shared" si="4"/>
        <v>195</v>
      </c>
      <c r="G15" s="2">
        <f t="shared" si="0"/>
        <v>201</v>
      </c>
      <c r="H15" s="5">
        <f t="shared" si="1"/>
        <v>100.5</v>
      </c>
      <c r="I15" s="46">
        <v>101</v>
      </c>
      <c r="J15" s="6"/>
      <c r="K15" s="120"/>
      <c r="L15" s="3">
        <f t="shared" si="2"/>
        <v>0.99502487562189057</v>
      </c>
      <c r="M15" s="5">
        <f>SUM(0.995*I15)</f>
        <v>100.495</v>
      </c>
      <c r="N15" s="4">
        <f t="shared" si="5"/>
        <v>7.537313432835821E-2</v>
      </c>
      <c r="O15" s="5">
        <f t="shared" si="6"/>
        <v>0.75373134328358216</v>
      </c>
      <c r="P15" s="123"/>
      <c r="Q15" s="105"/>
      <c r="R15" s="111"/>
      <c r="S15" s="114"/>
    </row>
    <row r="16" spans="2:20" ht="15.75" x14ac:dyDescent="0.25">
      <c r="B16" s="2">
        <v>11</v>
      </c>
      <c r="C16" s="23" t="str">
        <f t="shared" si="3"/>
        <v>:-)</v>
      </c>
      <c r="D16" s="27" t="s">
        <v>27</v>
      </c>
      <c r="E16" s="2">
        <v>13</v>
      </c>
      <c r="F16" s="2">
        <f t="shared" si="4"/>
        <v>195</v>
      </c>
      <c r="G16" s="2">
        <f t="shared" si="0"/>
        <v>201</v>
      </c>
      <c r="H16" s="5">
        <f t="shared" si="1"/>
        <v>100.5</v>
      </c>
      <c r="I16" s="46">
        <v>101</v>
      </c>
      <c r="J16" s="6"/>
      <c r="K16" s="120"/>
      <c r="L16" s="3">
        <f t="shared" si="2"/>
        <v>0.99502487562189057</v>
      </c>
      <c r="M16" s="5">
        <f>SUM(0.995*I16)</f>
        <v>100.495</v>
      </c>
      <c r="N16" s="4">
        <f t="shared" si="5"/>
        <v>7.537313432835821E-2</v>
      </c>
      <c r="O16" s="5">
        <f t="shared" si="6"/>
        <v>0.75373134328358216</v>
      </c>
      <c r="P16" s="123"/>
      <c r="Q16" s="105"/>
      <c r="R16" s="111"/>
      <c r="S16" s="114"/>
    </row>
    <row r="17" spans="2:21" ht="15.75" x14ac:dyDescent="0.25">
      <c r="B17" s="2">
        <v>12</v>
      </c>
      <c r="C17" s="23" t="str">
        <f t="shared" si="3"/>
        <v>:-)</v>
      </c>
      <c r="D17" s="27" t="s">
        <v>28</v>
      </c>
      <c r="E17" s="2">
        <v>14</v>
      </c>
      <c r="F17" s="2">
        <f t="shared" si="4"/>
        <v>210</v>
      </c>
      <c r="G17" s="2">
        <f t="shared" si="0"/>
        <v>216</v>
      </c>
      <c r="H17" s="2">
        <f t="shared" si="1"/>
        <v>108</v>
      </c>
      <c r="I17" s="46">
        <v>108</v>
      </c>
      <c r="J17" s="6"/>
      <c r="K17" s="120"/>
      <c r="L17" s="3">
        <f t="shared" si="2"/>
        <v>0.92592592592592593</v>
      </c>
      <c r="M17" s="5">
        <f>SUM(0.926*I17)</f>
        <v>100.00800000000001</v>
      </c>
      <c r="N17" s="4">
        <f t="shared" si="5"/>
        <v>8.0597014925373134E-2</v>
      </c>
      <c r="O17" s="5">
        <f t="shared" si="6"/>
        <v>0.80597014925373134</v>
      </c>
      <c r="P17" s="123"/>
      <c r="Q17" s="105"/>
      <c r="R17" s="111"/>
      <c r="S17" s="114"/>
    </row>
    <row r="18" spans="2:21" ht="15.75" x14ac:dyDescent="0.25">
      <c r="B18" s="2">
        <v>13</v>
      </c>
      <c r="C18" s="23" t="str">
        <f t="shared" si="3"/>
        <v>:-)</v>
      </c>
      <c r="D18" s="27" t="s">
        <v>29</v>
      </c>
      <c r="E18" s="2">
        <v>8</v>
      </c>
      <c r="F18" s="2">
        <f t="shared" si="4"/>
        <v>120</v>
      </c>
      <c r="G18" s="2">
        <f t="shared" si="0"/>
        <v>126</v>
      </c>
      <c r="H18" s="2">
        <f t="shared" si="1"/>
        <v>63</v>
      </c>
      <c r="I18" s="46">
        <v>63</v>
      </c>
      <c r="J18" s="6"/>
      <c r="K18" s="120"/>
      <c r="L18" s="3">
        <f t="shared" si="2"/>
        <v>1.5873015873015872</v>
      </c>
      <c r="M18" s="5">
        <f>SUM(1.587*I18)</f>
        <v>99.980999999999995</v>
      </c>
      <c r="N18" s="4">
        <f t="shared" si="5"/>
        <v>4.7014925373134328E-2</v>
      </c>
      <c r="O18" s="5">
        <f t="shared" si="6"/>
        <v>0.47014925373134331</v>
      </c>
      <c r="P18" s="123"/>
      <c r="Q18" s="105"/>
      <c r="R18" s="111"/>
      <c r="S18" s="114"/>
    </row>
    <row r="19" spans="2:21" ht="15.75" x14ac:dyDescent="0.25">
      <c r="B19" s="2">
        <v>14</v>
      </c>
      <c r="C19" s="23" t="str">
        <f t="shared" si="3"/>
        <v>:-)</v>
      </c>
      <c r="D19" s="27" t="s">
        <v>30</v>
      </c>
      <c r="E19" s="2">
        <v>11</v>
      </c>
      <c r="F19" s="2">
        <f t="shared" si="4"/>
        <v>165</v>
      </c>
      <c r="G19" s="2">
        <f t="shared" si="0"/>
        <v>171</v>
      </c>
      <c r="H19" s="5">
        <f t="shared" si="1"/>
        <v>85.5</v>
      </c>
      <c r="I19" s="46">
        <v>86</v>
      </c>
      <c r="J19" s="6"/>
      <c r="K19" s="120"/>
      <c r="L19" s="3">
        <f t="shared" si="2"/>
        <v>1.1695906432748537</v>
      </c>
      <c r="M19" s="5">
        <f>SUM(1.168*I19)</f>
        <v>100.44799999999999</v>
      </c>
      <c r="N19" s="4">
        <f t="shared" si="5"/>
        <v>6.4179104477611937E-2</v>
      </c>
      <c r="O19" s="5">
        <f t="shared" si="6"/>
        <v>0.64179104477611937</v>
      </c>
      <c r="P19" s="123"/>
      <c r="Q19" s="105"/>
      <c r="R19" s="111"/>
      <c r="S19" s="114"/>
    </row>
    <row r="20" spans="2:21" ht="15.75" x14ac:dyDescent="0.25">
      <c r="B20" s="2">
        <v>15</v>
      </c>
      <c r="C20" s="23" t="str">
        <f t="shared" si="3"/>
        <v>:-)</v>
      </c>
      <c r="D20" s="27" t="s">
        <v>31</v>
      </c>
      <c r="E20" s="2">
        <v>12</v>
      </c>
      <c r="F20" s="2">
        <f t="shared" si="4"/>
        <v>180</v>
      </c>
      <c r="G20" s="2">
        <f t="shared" si="0"/>
        <v>186</v>
      </c>
      <c r="H20" s="2">
        <f t="shared" si="1"/>
        <v>93</v>
      </c>
      <c r="I20" s="46">
        <v>93</v>
      </c>
      <c r="J20" s="6"/>
      <c r="K20" s="120"/>
      <c r="L20" s="3">
        <f t="shared" si="2"/>
        <v>1.075268817204301</v>
      </c>
      <c r="M20" s="5">
        <f>SUM(1.075*I20)</f>
        <v>99.974999999999994</v>
      </c>
      <c r="N20" s="4">
        <f t="shared" si="5"/>
        <v>6.9402985074626861E-2</v>
      </c>
      <c r="O20" s="5">
        <f t="shared" si="6"/>
        <v>0.69402985074626855</v>
      </c>
      <c r="P20" s="123"/>
      <c r="Q20" s="105"/>
      <c r="R20" s="111"/>
      <c r="S20" s="114"/>
    </row>
    <row r="21" spans="2:21" ht="15.75" x14ac:dyDescent="0.25">
      <c r="B21" s="2">
        <v>16</v>
      </c>
      <c r="C21" s="23" t="str">
        <f t="shared" si="3"/>
        <v>:-)</v>
      </c>
      <c r="D21" s="27" t="s">
        <v>46</v>
      </c>
      <c r="E21" s="2">
        <v>16</v>
      </c>
      <c r="F21" s="2">
        <f t="shared" si="4"/>
        <v>240</v>
      </c>
      <c r="G21" s="2">
        <f t="shared" si="0"/>
        <v>246</v>
      </c>
      <c r="H21" s="2">
        <f t="shared" si="1"/>
        <v>123</v>
      </c>
      <c r="I21" s="46">
        <v>123</v>
      </c>
      <c r="J21" s="6"/>
      <c r="K21" s="120"/>
      <c r="L21" s="3">
        <f t="shared" si="2"/>
        <v>0.81300813008130079</v>
      </c>
      <c r="M21" s="5">
        <f>SUM(0.813*I21)</f>
        <v>99.998999999999995</v>
      </c>
      <c r="N21" s="4">
        <f t="shared" si="5"/>
        <v>9.1791044776119407E-2</v>
      </c>
      <c r="O21" s="5">
        <f t="shared" si="6"/>
        <v>0.91791044776119413</v>
      </c>
      <c r="P21" s="123"/>
      <c r="Q21" s="105"/>
      <c r="R21" s="111"/>
      <c r="S21" s="114"/>
    </row>
    <row r="22" spans="2:21" ht="16.5" thickBot="1" x14ac:dyDescent="0.3">
      <c r="B22" s="2">
        <v>17</v>
      </c>
      <c r="C22" s="23" t="str">
        <f t="shared" si="3"/>
        <v>:-)</v>
      </c>
      <c r="D22" s="27" t="s">
        <v>32</v>
      </c>
      <c r="E22" s="2">
        <v>9</v>
      </c>
      <c r="F22" s="2">
        <f t="shared" si="4"/>
        <v>135</v>
      </c>
      <c r="G22" s="2">
        <f t="shared" si="0"/>
        <v>141</v>
      </c>
      <c r="H22" s="5">
        <f t="shared" si="1"/>
        <v>70.5</v>
      </c>
      <c r="I22" s="46">
        <v>71</v>
      </c>
      <c r="J22" s="6"/>
      <c r="K22" s="121"/>
      <c r="L22" s="3">
        <f t="shared" si="2"/>
        <v>1.4184397163120568</v>
      </c>
      <c r="M22" s="5">
        <f>SUM(1.415*I22)</f>
        <v>100.465</v>
      </c>
      <c r="N22" s="4">
        <f t="shared" si="5"/>
        <v>5.2985074626865671E-2</v>
      </c>
      <c r="O22" s="5">
        <f t="shared" si="6"/>
        <v>0.52985074626865669</v>
      </c>
      <c r="P22" s="124"/>
      <c r="Q22" s="106"/>
      <c r="R22" s="111"/>
      <c r="S22" s="114"/>
      <c r="T22" s="54">
        <f>SUM(H9:H22)</f>
        <v>1339.5</v>
      </c>
    </row>
    <row r="23" spans="2:21" ht="45" customHeight="1" thickBot="1" x14ac:dyDescent="0.75">
      <c r="C23" s="42" t="s">
        <v>53</v>
      </c>
      <c r="D23" s="16" t="s">
        <v>10</v>
      </c>
      <c r="E23" s="17" t="s">
        <v>0</v>
      </c>
      <c r="F23" s="17" t="s">
        <v>49</v>
      </c>
      <c r="G23" s="44" t="s">
        <v>1</v>
      </c>
      <c r="H23" s="18">
        <v>0.5</v>
      </c>
      <c r="I23" s="47" t="s">
        <v>56</v>
      </c>
      <c r="J23" s="6"/>
      <c r="K23" s="50" t="s">
        <v>61</v>
      </c>
      <c r="L23" s="11"/>
      <c r="M23" s="10" t="s">
        <v>5</v>
      </c>
      <c r="N23" s="11"/>
      <c r="O23" s="12"/>
      <c r="P23" s="13" t="s">
        <v>13</v>
      </c>
      <c r="Q23" s="13" t="s">
        <v>57</v>
      </c>
      <c r="R23" s="111"/>
      <c r="S23" s="114"/>
      <c r="U23" s="1"/>
    </row>
    <row r="24" spans="2:21" ht="15.75" x14ac:dyDescent="0.25">
      <c r="B24" s="2">
        <v>18</v>
      </c>
      <c r="C24" s="25" t="str">
        <f>IF(M24&lt;60,"x (",":-)")</f>
        <v>:-)</v>
      </c>
      <c r="D24" s="28" t="s">
        <v>33</v>
      </c>
      <c r="E24" s="2">
        <v>11</v>
      </c>
      <c r="F24" s="2">
        <f>SUM(E24*12)</f>
        <v>132</v>
      </c>
      <c r="G24" s="2">
        <f t="shared" si="0"/>
        <v>138</v>
      </c>
      <c r="H24" s="2">
        <f t="shared" si="1"/>
        <v>69</v>
      </c>
      <c r="I24" s="46">
        <v>69</v>
      </c>
      <c r="J24" s="6"/>
      <c r="K24" s="126">
        <v>216</v>
      </c>
      <c r="L24" s="3">
        <f t="shared" si="2"/>
        <v>1.4492753623188406</v>
      </c>
      <c r="M24" s="5">
        <f>SUM(1.449*I24)</f>
        <v>99.981000000000009</v>
      </c>
      <c r="N24" s="4">
        <f>SUM(I24/216)</f>
        <v>0.31944444444444442</v>
      </c>
      <c r="O24" s="5">
        <f>SUM(N24*4)</f>
        <v>1.2777777777777777</v>
      </c>
      <c r="P24" s="122">
        <f>SUM(N24:O33)</f>
        <v>5.0000000000000009</v>
      </c>
      <c r="Q24" s="125" t="str">
        <f>IF(P24&gt;4,"CAPAI","TIDAK CAPAI")</f>
        <v>CAPAI</v>
      </c>
      <c r="R24" s="111"/>
      <c r="S24" s="114"/>
    </row>
    <row r="25" spans="2:21" ht="15.75" x14ac:dyDescent="0.25">
      <c r="B25" s="2">
        <v>19</v>
      </c>
      <c r="C25" s="25" t="str">
        <f t="shared" ref="C25:C33" si="7">IF(M25&lt;60,"x (",":-)")</f>
        <v>:-)</v>
      </c>
      <c r="D25" s="28" t="s">
        <v>34</v>
      </c>
      <c r="E25" s="2">
        <v>5</v>
      </c>
      <c r="F25" s="2">
        <f t="shared" ref="F25:F33" si="8">SUM(E25*12)</f>
        <v>60</v>
      </c>
      <c r="G25" s="2">
        <f t="shared" si="0"/>
        <v>66</v>
      </c>
      <c r="H25" s="2">
        <f t="shared" si="1"/>
        <v>33</v>
      </c>
      <c r="I25" s="46">
        <v>33</v>
      </c>
      <c r="J25" s="6"/>
      <c r="K25" s="127"/>
      <c r="L25" s="3">
        <f t="shared" si="2"/>
        <v>3.0303030303030303</v>
      </c>
      <c r="M25" s="5">
        <f>SUM(3.03*I25)</f>
        <v>99.99</v>
      </c>
      <c r="N25" s="4">
        <f t="shared" ref="N25:N33" si="9">SUM(I25/216)</f>
        <v>0.15277777777777779</v>
      </c>
      <c r="O25" s="5">
        <f t="shared" ref="O25:O33" si="10">SUM(N25*4)</f>
        <v>0.61111111111111116</v>
      </c>
      <c r="P25" s="123"/>
      <c r="Q25" s="105"/>
      <c r="R25" s="111"/>
      <c r="S25" s="114"/>
    </row>
    <row r="26" spans="2:21" ht="15.75" x14ac:dyDescent="0.25">
      <c r="B26" s="2">
        <v>20</v>
      </c>
      <c r="C26" s="25" t="str">
        <f t="shared" si="7"/>
        <v>:-)</v>
      </c>
      <c r="D26" s="28" t="s">
        <v>35</v>
      </c>
      <c r="E26" s="2">
        <v>2</v>
      </c>
      <c r="F26" s="2">
        <f t="shared" si="8"/>
        <v>24</v>
      </c>
      <c r="G26" s="2">
        <f t="shared" si="0"/>
        <v>30</v>
      </c>
      <c r="H26" s="2">
        <f t="shared" si="1"/>
        <v>15</v>
      </c>
      <c r="I26" s="46">
        <v>15</v>
      </c>
      <c r="J26" s="6"/>
      <c r="K26" s="127"/>
      <c r="L26" s="3">
        <f t="shared" si="2"/>
        <v>6.666666666666667</v>
      </c>
      <c r="M26" s="5">
        <f>SUM(6.667*I26)</f>
        <v>100.005</v>
      </c>
      <c r="N26" s="4">
        <f t="shared" si="9"/>
        <v>6.9444444444444448E-2</v>
      </c>
      <c r="O26" s="5">
        <f t="shared" si="10"/>
        <v>0.27777777777777779</v>
      </c>
      <c r="P26" s="123"/>
      <c r="Q26" s="105"/>
      <c r="R26" s="111"/>
      <c r="S26" s="114"/>
    </row>
    <row r="27" spans="2:21" ht="15.75" x14ac:dyDescent="0.25">
      <c r="B27" s="2">
        <v>21</v>
      </c>
      <c r="C27" s="25" t="str">
        <f t="shared" si="7"/>
        <v>:-)</v>
      </c>
      <c r="D27" s="28" t="s">
        <v>36</v>
      </c>
      <c r="E27" s="2">
        <v>1</v>
      </c>
      <c r="F27" s="2">
        <f t="shared" si="8"/>
        <v>12</v>
      </c>
      <c r="G27" s="2">
        <f t="shared" si="0"/>
        <v>18</v>
      </c>
      <c r="H27" s="2">
        <f t="shared" si="1"/>
        <v>9</v>
      </c>
      <c r="I27" s="46">
        <v>9</v>
      </c>
      <c r="J27" s="6"/>
      <c r="K27" s="127"/>
      <c r="L27" s="3">
        <f t="shared" si="2"/>
        <v>11.111111111111111</v>
      </c>
      <c r="M27" s="5">
        <f>SUM(11.111*I27)</f>
        <v>99.999000000000009</v>
      </c>
      <c r="N27" s="4">
        <f t="shared" si="9"/>
        <v>4.1666666666666664E-2</v>
      </c>
      <c r="O27" s="5">
        <f t="shared" si="10"/>
        <v>0.16666666666666666</v>
      </c>
      <c r="P27" s="123"/>
      <c r="Q27" s="105"/>
      <c r="R27" s="111"/>
      <c r="S27" s="114"/>
    </row>
    <row r="28" spans="2:21" ht="15.75" x14ac:dyDescent="0.25">
      <c r="B28" s="2">
        <v>22</v>
      </c>
      <c r="C28" s="25" t="str">
        <f t="shared" si="7"/>
        <v>:-)</v>
      </c>
      <c r="D28" s="28" t="s">
        <v>45</v>
      </c>
      <c r="E28" s="2">
        <v>1</v>
      </c>
      <c r="F28" s="2">
        <f t="shared" si="8"/>
        <v>12</v>
      </c>
      <c r="G28" s="2">
        <f t="shared" si="0"/>
        <v>18</v>
      </c>
      <c r="H28" s="2">
        <f t="shared" si="1"/>
        <v>9</v>
      </c>
      <c r="I28" s="46">
        <v>9</v>
      </c>
      <c r="J28" s="6"/>
      <c r="K28" s="127"/>
      <c r="L28" s="3">
        <f t="shared" si="2"/>
        <v>11.111111111111111</v>
      </c>
      <c r="M28" s="5">
        <f>SUM(11.111*I28)</f>
        <v>99.999000000000009</v>
      </c>
      <c r="N28" s="4">
        <f t="shared" si="9"/>
        <v>4.1666666666666664E-2</v>
      </c>
      <c r="O28" s="5">
        <f t="shared" si="10"/>
        <v>0.16666666666666666</v>
      </c>
      <c r="P28" s="123"/>
      <c r="Q28" s="105"/>
      <c r="R28" s="111"/>
      <c r="S28" s="114"/>
    </row>
    <row r="29" spans="2:21" ht="15.75" x14ac:dyDescent="0.25">
      <c r="B29" s="2">
        <v>23</v>
      </c>
      <c r="C29" s="25" t="str">
        <f t="shared" si="7"/>
        <v>:-)</v>
      </c>
      <c r="D29" s="28" t="s">
        <v>37</v>
      </c>
      <c r="E29" s="2">
        <v>4</v>
      </c>
      <c r="F29" s="2">
        <f t="shared" si="8"/>
        <v>48</v>
      </c>
      <c r="G29" s="2">
        <f t="shared" si="0"/>
        <v>54</v>
      </c>
      <c r="H29" s="2">
        <f t="shared" si="1"/>
        <v>27</v>
      </c>
      <c r="I29" s="46">
        <v>27</v>
      </c>
      <c r="J29" s="6"/>
      <c r="K29" s="127"/>
      <c r="L29" s="3">
        <f t="shared" si="2"/>
        <v>3.7037037037037037</v>
      </c>
      <c r="M29" s="5">
        <f>SUM(3.704*I29)</f>
        <v>100.00800000000001</v>
      </c>
      <c r="N29" s="4">
        <f t="shared" si="9"/>
        <v>0.125</v>
      </c>
      <c r="O29" s="5">
        <f t="shared" si="10"/>
        <v>0.5</v>
      </c>
      <c r="P29" s="123"/>
      <c r="Q29" s="105"/>
      <c r="R29" s="111"/>
      <c r="S29" s="114"/>
    </row>
    <row r="30" spans="2:21" ht="15.75" x14ac:dyDescent="0.25">
      <c r="B30" s="2">
        <v>24</v>
      </c>
      <c r="C30" s="25" t="str">
        <f t="shared" si="7"/>
        <v>:-)</v>
      </c>
      <c r="D30" s="28" t="s">
        <v>38</v>
      </c>
      <c r="E30" s="2">
        <v>2</v>
      </c>
      <c r="F30" s="2">
        <f t="shared" si="8"/>
        <v>24</v>
      </c>
      <c r="G30" s="2">
        <f t="shared" si="0"/>
        <v>30</v>
      </c>
      <c r="H30" s="2">
        <f t="shared" si="1"/>
        <v>15</v>
      </c>
      <c r="I30" s="46">
        <v>15</v>
      </c>
      <c r="J30" s="6"/>
      <c r="K30" s="127"/>
      <c r="L30" s="3">
        <f t="shared" si="2"/>
        <v>6.666666666666667</v>
      </c>
      <c r="M30" s="5">
        <f>SUM(6.667*I30)</f>
        <v>100.005</v>
      </c>
      <c r="N30" s="4">
        <f t="shared" si="9"/>
        <v>6.9444444444444448E-2</v>
      </c>
      <c r="O30" s="5">
        <f t="shared" si="10"/>
        <v>0.27777777777777779</v>
      </c>
      <c r="P30" s="123"/>
      <c r="Q30" s="105"/>
      <c r="R30" s="111"/>
      <c r="S30" s="114"/>
    </row>
    <row r="31" spans="2:21" ht="15.75" x14ac:dyDescent="0.25">
      <c r="B31" s="2">
        <v>25</v>
      </c>
      <c r="C31" s="25" t="str">
        <f t="shared" si="7"/>
        <v>:-)</v>
      </c>
      <c r="D31" s="28" t="s">
        <v>39</v>
      </c>
      <c r="E31" s="2">
        <v>2</v>
      </c>
      <c r="F31" s="2">
        <f t="shared" si="8"/>
        <v>24</v>
      </c>
      <c r="G31" s="2">
        <f t="shared" si="0"/>
        <v>30</v>
      </c>
      <c r="H31" s="2">
        <f t="shared" si="1"/>
        <v>15</v>
      </c>
      <c r="I31" s="46">
        <v>15</v>
      </c>
      <c r="J31" s="6"/>
      <c r="K31" s="127"/>
      <c r="L31" s="3">
        <f t="shared" si="2"/>
        <v>6.666666666666667</v>
      </c>
      <c r="M31" s="5">
        <f>SUM(6.667*I31)</f>
        <v>100.005</v>
      </c>
      <c r="N31" s="4">
        <f t="shared" si="9"/>
        <v>6.9444444444444448E-2</v>
      </c>
      <c r="O31" s="5">
        <f t="shared" si="10"/>
        <v>0.27777777777777779</v>
      </c>
      <c r="P31" s="123"/>
      <c r="Q31" s="105"/>
      <c r="R31" s="111"/>
      <c r="S31" s="114"/>
    </row>
    <row r="32" spans="2:21" ht="15.75" x14ac:dyDescent="0.25">
      <c r="B32" s="2">
        <v>26</v>
      </c>
      <c r="C32" s="25" t="str">
        <f t="shared" si="7"/>
        <v>:-)</v>
      </c>
      <c r="D32" s="28" t="s">
        <v>40</v>
      </c>
      <c r="E32" s="2">
        <v>1</v>
      </c>
      <c r="F32" s="2">
        <f t="shared" si="8"/>
        <v>12</v>
      </c>
      <c r="G32" s="2">
        <f t="shared" si="0"/>
        <v>18</v>
      </c>
      <c r="H32" s="2">
        <f t="shared" si="1"/>
        <v>9</v>
      </c>
      <c r="I32" s="46">
        <v>9</v>
      </c>
      <c r="J32" s="6"/>
      <c r="K32" s="127"/>
      <c r="L32" s="3">
        <f t="shared" si="2"/>
        <v>11.111111111111111</v>
      </c>
      <c r="M32" s="5">
        <f>SUM(11.111*I32)</f>
        <v>99.999000000000009</v>
      </c>
      <c r="N32" s="4">
        <f t="shared" si="9"/>
        <v>4.1666666666666664E-2</v>
      </c>
      <c r="O32" s="5">
        <f t="shared" si="10"/>
        <v>0.16666666666666666</v>
      </c>
      <c r="P32" s="123"/>
      <c r="Q32" s="105"/>
      <c r="R32" s="111"/>
      <c r="S32" s="114"/>
    </row>
    <row r="33" spans="2:20" ht="16.5" thickBot="1" x14ac:dyDescent="0.3">
      <c r="B33" s="2">
        <v>27</v>
      </c>
      <c r="C33" s="25" t="str">
        <f t="shared" si="7"/>
        <v>:-)</v>
      </c>
      <c r="D33" s="28" t="s">
        <v>43</v>
      </c>
      <c r="E33" s="2">
        <v>2</v>
      </c>
      <c r="F33" s="2">
        <f t="shared" si="8"/>
        <v>24</v>
      </c>
      <c r="G33" s="2">
        <f t="shared" si="0"/>
        <v>30</v>
      </c>
      <c r="H33" s="2">
        <f t="shared" si="1"/>
        <v>15</v>
      </c>
      <c r="I33" s="46">
        <v>15</v>
      </c>
      <c r="J33" s="6"/>
      <c r="K33" s="127"/>
      <c r="L33" s="3">
        <f t="shared" si="2"/>
        <v>6.666666666666667</v>
      </c>
      <c r="M33" s="5">
        <f>SUM(6.667*I33)</f>
        <v>100.005</v>
      </c>
      <c r="N33" s="4">
        <f t="shared" si="9"/>
        <v>6.9444444444444448E-2</v>
      </c>
      <c r="O33" s="5">
        <f t="shared" si="10"/>
        <v>0.27777777777777779</v>
      </c>
      <c r="P33" s="123"/>
      <c r="Q33" s="105"/>
      <c r="R33" s="111"/>
      <c r="S33" s="114"/>
      <c r="T33" s="54">
        <f>SUM(H24:H33)</f>
        <v>216</v>
      </c>
    </row>
    <row r="34" spans="2:20" ht="43.5" customHeight="1" x14ac:dyDescent="0.7">
      <c r="C34" s="42" t="s">
        <v>52</v>
      </c>
      <c r="D34" s="19" t="s">
        <v>16</v>
      </c>
      <c r="E34" s="20" t="s">
        <v>0</v>
      </c>
      <c r="F34" s="20" t="s">
        <v>47</v>
      </c>
      <c r="G34" s="21" t="s">
        <v>1</v>
      </c>
      <c r="H34" s="22">
        <v>0.5</v>
      </c>
      <c r="I34" s="48" t="s">
        <v>56</v>
      </c>
      <c r="J34" s="6"/>
      <c r="K34" s="50" t="s">
        <v>62</v>
      </c>
      <c r="L34" s="11"/>
      <c r="M34" s="10" t="s">
        <v>5</v>
      </c>
      <c r="N34" s="11"/>
      <c r="O34" s="12"/>
      <c r="P34" s="13" t="s">
        <v>20</v>
      </c>
      <c r="Q34" s="13" t="s">
        <v>57</v>
      </c>
      <c r="R34" s="111"/>
      <c r="S34" s="114"/>
    </row>
    <row r="35" spans="2:20" ht="15.75" x14ac:dyDescent="0.25">
      <c r="B35" s="2">
        <v>28</v>
      </c>
      <c r="C35" s="26" t="str">
        <f>IF(M35&lt;70,"x (",":-)")</f>
        <v>:-)</v>
      </c>
      <c r="D35" s="29" t="s">
        <v>17</v>
      </c>
      <c r="E35" s="2">
        <v>2</v>
      </c>
      <c r="F35" s="2">
        <f>SUM(E35*25)</f>
        <v>50</v>
      </c>
      <c r="G35" s="2">
        <f t="shared" si="0"/>
        <v>56</v>
      </c>
      <c r="H35" s="2">
        <f t="shared" si="1"/>
        <v>28</v>
      </c>
      <c r="I35" s="46">
        <v>28</v>
      </c>
      <c r="J35" s="6"/>
      <c r="K35" s="119">
        <v>115</v>
      </c>
      <c r="L35" s="3">
        <f>SUM(100/H35)</f>
        <v>3.5714285714285716</v>
      </c>
      <c r="M35" s="5">
        <f>SUM(3.571*I35)</f>
        <v>99.988</v>
      </c>
      <c r="N35" s="4">
        <f>SUM(I35/115)</f>
        <v>0.24347826086956523</v>
      </c>
      <c r="O35" s="5">
        <f>SUM(N35*19.8)</f>
        <v>4.8208695652173921</v>
      </c>
      <c r="P35" s="122">
        <f>SUM(O35:O39)</f>
        <v>19.972173913043481</v>
      </c>
      <c r="Q35" s="104" t="str">
        <f>IF(P35&gt;19,"CAPAI","TIDAK CAPAI")</f>
        <v>CAPAI</v>
      </c>
      <c r="R35" s="111"/>
      <c r="S35" s="114"/>
    </row>
    <row r="36" spans="2:20" ht="15.75" x14ac:dyDescent="0.25">
      <c r="B36" s="2">
        <v>29</v>
      </c>
      <c r="C36" s="26" t="str">
        <f>IF(M36&lt;70,"x (",":-)")</f>
        <v>:-)</v>
      </c>
      <c r="D36" s="29" t="s">
        <v>18</v>
      </c>
      <c r="E36" s="2">
        <v>2</v>
      </c>
      <c r="F36" s="2">
        <f>SUM(E36*25)</f>
        <v>50</v>
      </c>
      <c r="G36" s="2">
        <f t="shared" si="0"/>
        <v>56</v>
      </c>
      <c r="H36" s="2">
        <f t="shared" si="1"/>
        <v>28</v>
      </c>
      <c r="I36" s="46">
        <v>28</v>
      </c>
      <c r="J36" s="6"/>
      <c r="K36" s="120"/>
      <c r="L36" s="3">
        <f>SUM(100/H36)</f>
        <v>3.5714285714285716</v>
      </c>
      <c r="M36" s="5">
        <f>SUM(3.571*I36)</f>
        <v>99.988</v>
      </c>
      <c r="N36" s="4">
        <f>SUM(I36/115)</f>
        <v>0.24347826086956523</v>
      </c>
      <c r="O36" s="5">
        <f>SUM(N36*19.8)</f>
        <v>4.8208695652173921</v>
      </c>
      <c r="P36" s="123"/>
      <c r="Q36" s="105"/>
      <c r="R36" s="111"/>
      <c r="S36" s="114"/>
    </row>
    <row r="37" spans="2:20" ht="15.75" x14ac:dyDescent="0.25">
      <c r="B37" s="2">
        <v>30</v>
      </c>
      <c r="C37" s="26" t="str">
        <f>IF(M37&lt;70,"x (",":-)")</f>
        <v>:-)</v>
      </c>
      <c r="D37" s="29" t="s">
        <v>19</v>
      </c>
      <c r="E37" s="2">
        <v>2</v>
      </c>
      <c r="F37" s="2">
        <f>SUM(E37*25)</f>
        <v>50</v>
      </c>
      <c r="G37" s="2">
        <f t="shared" si="0"/>
        <v>56</v>
      </c>
      <c r="H37" s="2">
        <f t="shared" si="1"/>
        <v>28</v>
      </c>
      <c r="I37" s="46">
        <v>28</v>
      </c>
      <c r="J37" s="6"/>
      <c r="K37" s="120"/>
      <c r="L37" s="3">
        <f>SUM(100/H37)</f>
        <v>3.5714285714285716</v>
      </c>
      <c r="M37" s="5">
        <f>SUM(3.571*I37)</f>
        <v>99.988</v>
      </c>
      <c r="N37" s="4">
        <f>SUM(I37/115)</f>
        <v>0.24347826086956523</v>
      </c>
      <c r="O37" s="5">
        <f>SUM(N37*19.8)</f>
        <v>4.8208695652173921</v>
      </c>
      <c r="P37" s="123"/>
      <c r="Q37" s="105"/>
      <c r="R37" s="111"/>
      <c r="S37" s="114"/>
    </row>
    <row r="38" spans="2:20" ht="15.75" x14ac:dyDescent="0.25">
      <c r="B38" s="2">
        <v>31</v>
      </c>
      <c r="C38" s="26" t="str">
        <f>IF(M38&lt;70,"x (",":-)")</f>
        <v>:-)</v>
      </c>
      <c r="D38" s="29" t="s">
        <v>21</v>
      </c>
      <c r="E38" s="2">
        <v>1</v>
      </c>
      <c r="F38" s="2">
        <f>SUM(E38*25)</f>
        <v>25</v>
      </c>
      <c r="G38" s="2">
        <f t="shared" si="0"/>
        <v>31</v>
      </c>
      <c r="H38" s="5">
        <f t="shared" si="1"/>
        <v>15.5</v>
      </c>
      <c r="I38" s="46">
        <v>16</v>
      </c>
      <c r="J38" s="6"/>
      <c r="K38" s="120"/>
      <c r="L38" s="3">
        <f>SUM(100/H38)</f>
        <v>6.4516129032258061</v>
      </c>
      <c r="M38" s="5">
        <f>SUM(6.25*I38)</f>
        <v>100</v>
      </c>
      <c r="N38" s="4">
        <f>SUM(I38/115)</f>
        <v>0.1391304347826087</v>
      </c>
      <c r="O38" s="5">
        <f>SUM(N38*19.8)</f>
        <v>2.7547826086956522</v>
      </c>
      <c r="P38" s="123"/>
      <c r="Q38" s="105"/>
      <c r="R38" s="111"/>
      <c r="S38" s="114"/>
    </row>
    <row r="39" spans="2:20" ht="15.75" x14ac:dyDescent="0.25">
      <c r="B39" s="2">
        <v>32</v>
      </c>
      <c r="C39" s="26" t="str">
        <f>IF(M39&lt;70,"x (",":-)")</f>
        <v>:-)</v>
      </c>
      <c r="D39" s="29" t="s">
        <v>22</v>
      </c>
      <c r="E39" s="2">
        <v>1</v>
      </c>
      <c r="F39" s="2">
        <f>SUM(E39*25)</f>
        <v>25</v>
      </c>
      <c r="G39" s="2">
        <f t="shared" si="0"/>
        <v>31</v>
      </c>
      <c r="H39" s="32">
        <f t="shared" si="1"/>
        <v>15.5</v>
      </c>
      <c r="I39" s="46">
        <v>16</v>
      </c>
      <c r="J39" s="6"/>
      <c r="K39" s="120"/>
      <c r="L39" s="33">
        <f>SUM(100/H39)</f>
        <v>6.4516129032258061</v>
      </c>
      <c r="M39" s="32">
        <f>SUM(6.25*I39)</f>
        <v>100</v>
      </c>
      <c r="N39" s="4">
        <f>SUM(I39/115)</f>
        <v>0.1391304347826087</v>
      </c>
      <c r="O39" s="5">
        <f>SUM(N39*19.8)</f>
        <v>2.7547826086956522</v>
      </c>
      <c r="P39" s="123"/>
      <c r="Q39" s="106"/>
      <c r="R39" s="112"/>
      <c r="S39" s="115"/>
      <c r="T39" s="54">
        <f>SUM(H35:H39)</f>
        <v>115</v>
      </c>
    </row>
    <row r="40" spans="2:20" x14ac:dyDescent="0.25">
      <c r="G40" s="39">
        <f>SUM(G5:G39)</f>
        <v>4339</v>
      </c>
      <c r="H40" s="34"/>
      <c r="I40" s="41">
        <f>SUM(I35+I36+I37+I38+I39+I33+I32+I31+I30+I29+I28+I27+I26+I25+I24+I22+I21+I20+I19+I18+I17+I16+I15+I14+I13+I12+I11+I10+I9+I7+I6+I5)</f>
        <v>2174</v>
      </c>
      <c r="J40" s="35"/>
      <c r="K40" s="38"/>
      <c r="L40" s="36"/>
      <c r="M40" s="35"/>
      <c r="N40" s="37"/>
      <c r="O40" s="38"/>
      <c r="P40" s="35"/>
      <c r="R40" s="34"/>
      <c r="S40" s="49"/>
    </row>
    <row r="41" spans="2:20" x14ac:dyDescent="0.25">
      <c r="G41" s="52" t="s">
        <v>63</v>
      </c>
      <c r="I41" s="52" t="s">
        <v>64</v>
      </c>
      <c r="K41" s="53">
        <f>SUM(K5+K9+K24+K35)</f>
        <v>2170</v>
      </c>
      <c r="T41" s="54">
        <f>SUM(T39+T33+T22+T7)</f>
        <v>2169.5</v>
      </c>
    </row>
  </sheetData>
  <mergeCells count="17">
    <mergeCell ref="P35:P39"/>
    <mergeCell ref="Q35:Q39"/>
    <mergeCell ref="D1:S1"/>
    <mergeCell ref="D3:I3"/>
    <mergeCell ref="K3:Q3"/>
    <mergeCell ref="R4:R39"/>
    <mergeCell ref="S4:S39"/>
    <mergeCell ref="K5:K7"/>
    <mergeCell ref="P5:P7"/>
    <mergeCell ref="Q5:Q7"/>
    <mergeCell ref="K9:K22"/>
    <mergeCell ref="P9:P22"/>
    <mergeCell ref="Q9:Q22"/>
    <mergeCell ref="K24:K33"/>
    <mergeCell ref="P24:P33"/>
    <mergeCell ref="Q24:Q33"/>
    <mergeCell ref="K35:K39"/>
  </mergeCells>
  <pageMargins left="0.7" right="0.7" top="0.75" bottom="0.75" header="0.3" footer="0.3"/>
  <pageSetup paperSize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topLeftCell="A16" zoomScale="80" zoomScaleNormal="80" workbookViewId="0">
      <selection sqref="A1:XFD1048576"/>
    </sheetView>
  </sheetViews>
  <sheetFormatPr defaultRowHeight="15" x14ac:dyDescent="0.25"/>
  <cols>
    <col min="1" max="1" width="11.85546875" customWidth="1"/>
    <col min="2" max="2" width="4" customWidth="1"/>
    <col min="3" max="3" width="6" customWidth="1"/>
    <col min="4" max="4" width="11.85546875" customWidth="1"/>
    <col min="5" max="5" width="12.7109375" hidden="1" customWidth="1"/>
    <col min="6" max="6" width="12.42578125" hidden="1" customWidth="1"/>
    <col min="7" max="7" width="15.42578125" hidden="1" customWidth="1"/>
    <col min="8" max="8" width="9.140625" hidden="1" customWidth="1"/>
    <col min="9" max="9" width="21.140625" customWidth="1"/>
    <col min="10" max="10" width="2.7109375" customWidth="1"/>
    <col min="11" max="11" width="12.7109375" hidden="1" customWidth="1"/>
    <col min="12" max="12" width="8.42578125" hidden="1" customWidth="1"/>
    <col min="13" max="13" width="7.42578125" customWidth="1"/>
    <col min="14" max="14" width="6.85546875" hidden="1" customWidth="1"/>
    <col min="15" max="15" width="3.7109375" hidden="1" customWidth="1"/>
    <col min="16" max="16" width="8" customWidth="1"/>
    <col min="17" max="17" width="13" customWidth="1"/>
    <col min="18" max="18" width="9.85546875" customWidth="1"/>
    <col min="19" max="19" width="13.5703125" customWidth="1"/>
    <col min="20" max="20" width="8.7109375" customWidth="1"/>
  </cols>
  <sheetData>
    <row r="1" spans="2:20" ht="21" x14ac:dyDescent="0.25">
      <c r="D1" s="107" t="s">
        <v>41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3" spans="2:20" ht="15.75" thickBot="1" x14ac:dyDescent="0.3">
      <c r="D3" s="109" t="s">
        <v>42</v>
      </c>
      <c r="E3" s="109"/>
      <c r="F3" s="109"/>
      <c r="G3" s="109"/>
      <c r="H3" s="109"/>
      <c r="I3" s="109"/>
      <c r="K3" s="110" t="s">
        <v>44</v>
      </c>
      <c r="L3" s="110"/>
      <c r="M3" s="110"/>
      <c r="N3" s="110"/>
      <c r="O3" s="110"/>
      <c r="P3" s="110"/>
      <c r="Q3" s="110"/>
      <c r="R3" s="40" t="s">
        <v>48</v>
      </c>
      <c r="S3" s="39" t="s">
        <v>23</v>
      </c>
    </row>
    <row r="4" spans="2:20" ht="47.25" thickBot="1" x14ac:dyDescent="0.75">
      <c r="C4" s="42" t="s">
        <v>55</v>
      </c>
      <c r="D4" s="16" t="s">
        <v>12</v>
      </c>
      <c r="E4" s="17" t="s">
        <v>0</v>
      </c>
      <c r="F4" s="17" t="s">
        <v>51</v>
      </c>
      <c r="G4" s="15" t="s">
        <v>1</v>
      </c>
      <c r="H4" s="18">
        <v>0.5</v>
      </c>
      <c r="I4" s="47" t="s">
        <v>58</v>
      </c>
      <c r="J4" s="8"/>
      <c r="K4" s="50" t="s">
        <v>59</v>
      </c>
      <c r="L4" s="11"/>
      <c r="M4" s="10" t="s">
        <v>5</v>
      </c>
      <c r="N4" s="11"/>
      <c r="O4" s="12"/>
      <c r="P4" s="13" t="s">
        <v>15</v>
      </c>
      <c r="Q4" s="13" t="s">
        <v>57</v>
      </c>
      <c r="R4" s="111">
        <f>SUM(P5+P9+P24+P35)</f>
        <v>48.65127839065542</v>
      </c>
      <c r="S4" s="113">
        <f>SUM(I40/4150)*100</f>
        <v>48.048192771084338</v>
      </c>
    </row>
    <row r="5" spans="2:20" ht="15.75" x14ac:dyDescent="0.25">
      <c r="B5" s="2">
        <v>1</v>
      </c>
      <c r="C5" s="24" t="str">
        <f>IF(M5&lt;60,"x (",":-)")</f>
        <v>:-)</v>
      </c>
      <c r="D5" s="30" t="s">
        <v>2</v>
      </c>
      <c r="E5" s="9">
        <v>19</v>
      </c>
      <c r="F5" s="9">
        <f>SUM(E5*20)</f>
        <v>380</v>
      </c>
      <c r="G5" s="9">
        <f>SUM(F5+6)</f>
        <v>386</v>
      </c>
      <c r="H5" s="9">
        <f>SUM(G5*0.5)</f>
        <v>193</v>
      </c>
      <c r="I5" s="45">
        <v>193</v>
      </c>
      <c r="J5" s="6"/>
      <c r="K5" s="116">
        <v>499</v>
      </c>
      <c r="L5" s="7">
        <f>SUM(100/H5)</f>
        <v>0.51813471502590669</v>
      </c>
      <c r="M5" s="5">
        <f>SUM(0.518*I5)</f>
        <v>99.974000000000004</v>
      </c>
      <c r="N5" s="4">
        <f>SUM(I5/499)</f>
        <v>0.38677354709418837</v>
      </c>
      <c r="O5" s="5">
        <f>SUM(N5*15)</f>
        <v>5.8016032064128256</v>
      </c>
      <c r="P5" s="117">
        <f>SUM(O5+O6+O7)</f>
        <v>15</v>
      </c>
      <c r="Q5" s="118" t="str">
        <f>IF(P5&gt;14,"CAPAI","TIDAK CAPAI")</f>
        <v>CAPAI</v>
      </c>
      <c r="R5" s="111"/>
      <c r="S5" s="114"/>
    </row>
    <row r="6" spans="2:20" ht="15.75" x14ac:dyDescent="0.25">
      <c r="B6" s="2">
        <v>2</v>
      </c>
      <c r="C6" s="24" t="str">
        <f>IF(M6&lt;60,"x (",":-)")</f>
        <v>:-)</v>
      </c>
      <c r="D6" s="31" t="s">
        <v>3</v>
      </c>
      <c r="E6" s="2">
        <v>18</v>
      </c>
      <c r="F6" s="9">
        <f>SUM(E6*20)</f>
        <v>360</v>
      </c>
      <c r="G6" s="2">
        <f t="shared" ref="G6:G39" si="0">SUM(F6+6)</f>
        <v>366</v>
      </c>
      <c r="H6" s="2">
        <f t="shared" ref="H6:H39" si="1">SUM(G6)*0.5</f>
        <v>183</v>
      </c>
      <c r="I6" s="46">
        <v>183</v>
      </c>
      <c r="J6" s="6"/>
      <c r="K6" s="116"/>
      <c r="L6" s="7">
        <f t="shared" ref="L6:L33" si="2">SUM(100/H6)</f>
        <v>0.54644808743169404</v>
      </c>
      <c r="M6" s="5">
        <f>SUM(0.546*I6)</f>
        <v>99.918000000000006</v>
      </c>
      <c r="N6" s="4">
        <f>SUM(I6/499)</f>
        <v>0.36673346693386771</v>
      </c>
      <c r="O6" s="5">
        <f>SUM(N6*15)</f>
        <v>5.5010020040080159</v>
      </c>
      <c r="P6" s="117"/>
      <c r="Q6" s="118"/>
      <c r="R6" s="111"/>
      <c r="S6" s="114"/>
    </row>
    <row r="7" spans="2:20" ht="16.5" thickBot="1" x14ac:dyDescent="0.3">
      <c r="B7" s="2">
        <v>3</v>
      </c>
      <c r="C7" s="24" t="str">
        <f>IF(M7&lt;60,"x (",":-)")</f>
        <v>:-)</v>
      </c>
      <c r="D7" s="31" t="s">
        <v>4</v>
      </c>
      <c r="E7" s="2">
        <v>12</v>
      </c>
      <c r="F7" s="9">
        <f>SUM(E7*20)</f>
        <v>240</v>
      </c>
      <c r="G7" s="2">
        <f t="shared" si="0"/>
        <v>246</v>
      </c>
      <c r="H7" s="2">
        <f t="shared" si="1"/>
        <v>123</v>
      </c>
      <c r="I7" s="46">
        <v>123</v>
      </c>
      <c r="J7" s="6"/>
      <c r="K7" s="116"/>
      <c r="L7" s="7">
        <f t="shared" si="2"/>
        <v>0.81300813008130079</v>
      </c>
      <c r="M7" s="5">
        <f>SUM(0.813*I7)</f>
        <v>99.998999999999995</v>
      </c>
      <c r="N7" s="4">
        <f>SUM(I7/499)</f>
        <v>0.24649298597194388</v>
      </c>
      <c r="O7" s="5">
        <f>SUM(N7*15)</f>
        <v>3.6973947895791581</v>
      </c>
      <c r="P7" s="117"/>
      <c r="Q7" s="118"/>
      <c r="R7" s="111"/>
      <c r="S7" s="114"/>
      <c r="T7" s="54">
        <f>SUM(H5:H7)</f>
        <v>499</v>
      </c>
    </row>
    <row r="8" spans="2:20" ht="48.75" thickBot="1" x14ac:dyDescent="0.3">
      <c r="C8" s="43" t="s">
        <v>54</v>
      </c>
      <c r="D8" s="16" t="s">
        <v>11</v>
      </c>
      <c r="E8" s="17" t="s">
        <v>0</v>
      </c>
      <c r="F8" s="14" t="s">
        <v>50</v>
      </c>
      <c r="G8" s="15" t="s">
        <v>1</v>
      </c>
      <c r="H8" s="18">
        <v>0.5</v>
      </c>
      <c r="I8" s="47" t="s">
        <v>56</v>
      </c>
      <c r="J8" s="6"/>
      <c r="K8" s="51" t="s">
        <v>60</v>
      </c>
      <c r="L8" s="11"/>
      <c r="M8" s="10" t="s">
        <v>5</v>
      </c>
      <c r="N8" s="11"/>
      <c r="O8" s="12"/>
      <c r="P8" s="13" t="s">
        <v>14</v>
      </c>
      <c r="Q8" s="13" t="s">
        <v>57</v>
      </c>
      <c r="R8" s="111"/>
      <c r="S8" s="114"/>
    </row>
    <row r="9" spans="2:20" ht="15.75" x14ac:dyDescent="0.25">
      <c r="B9" s="2">
        <v>4</v>
      </c>
      <c r="C9" s="23" t="str">
        <f>IF(M9&lt;60,"X (",":-)")</f>
        <v>:-)</v>
      </c>
      <c r="D9" s="27" t="s">
        <v>6</v>
      </c>
      <c r="E9" s="2">
        <v>14</v>
      </c>
      <c r="F9" s="2">
        <f>SUM(E9*15)</f>
        <v>210</v>
      </c>
      <c r="G9" s="2">
        <f t="shared" si="0"/>
        <v>216</v>
      </c>
      <c r="H9" s="2">
        <f t="shared" si="1"/>
        <v>108</v>
      </c>
      <c r="I9" s="46">
        <v>108</v>
      </c>
      <c r="J9" s="6"/>
      <c r="K9" s="119">
        <v>1340</v>
      </c>
      <c r="L9" s="3">
        <f t="shared" si="2"/>
        <v>0.92592592592592593</v>
      </c>
      <c r="M9" s="5">
        <f>SUM(0.926*I9)</f>
        <v>100.00800000000001</v>
      </c>
      <c r="N9" s="4">
        <f>SUM(I9/1340)</f>
        <v>8.0597014925373134E-2</v>
      </c>
      <c r="O9" s="5">
        <f>SUM(N9*10)</f>
        <v>0.80597014925373134</v>
      </c>
      <c r="P9" s="122">
        <f>SUM(O9:O22)</f>
        <v>8.6791044776119399</v>
      </c>
      <c r="Q9" s="125" t="str">
        <f>IF(P9&gt;9,"CAPAI","TIDAK CAPAI")</f>
        <v>TIDAK CAPAI</v>
      </c>
      <c r="R9" s="111"/>
      <c r="S9" s="114"/>
    </row>
    <row r="10" spans="2:20" ht="15.75" x14ac:dyDescent="0.25">
      <c r="B10" s="2">
        <v>5</v>
      </c>
      <c r="C10" s="23" t="str">
        <f t="shared" ref="C10:C22" si="3">IF(M10&lt;60,"X (",":-)")</f>
        <v>:-)</v>
      </c>
      <c r="D10" s="27" t="s">
        <v>7</v>
      </c>
      <c r="E10" s="2">
        <v>12</v>
      </c>
      <c r="F10" s="2">
        <f t="shared" ref="F10:F22" si="4">SUM(E10*15)</f>
        <v>180</v>
      </c>
      <c r="G10" s="2">
        <f t="shared" si="0"/>
        <v>186</v>
      </c>
      <c r="H10" s="2">
        <f t="shared" si="1"/>
        <v>93</v>
      </c>
      <c r="I10" s="46">
        <v>93</v>
      </c>
      <c r="J10" s="6"/>
      <c r="K10" s="120"/>
      <c r="L10" s="3">
        <f t="shared" si="2"/>
        <v>1.075268817204301</v>
      </c>
      <c r="M10" s="5">
        <f>SUM(1.075*I10)</f>
        <v>99.974999999999994</v>
      </c>
      <c r="N10" s="4">
        <f t="shared" ref="N10:N22" si="5">SUM(I10/1340)</f>
        <v>6.9402985074626861E-2</v>
      </c>
      <c r="O10" s="5">
        <f t="shared" ref="O10:O22" si="6">SUM(N10*10)</f>
        <v>0.69402985074626855</v>
      </c>
      <c r="P10" s="123"/>
      <c r="Q10" s="105"/>
      <c r="R10" s="111"/>
      <c r="S10" s="114"/>
    </row>
    <row r="11" spans="2:20" ht="15.75" x14ac:dyDescent="0.25">
      <c r="B11" s="2">
        <v>6</v>
      </c>
      <c r="C11" s="23" t="str">
        <f t="shared" si="3"/>
        <v>:-)</v>
      </c>
      <c r="D11" s="27" t="s">
        <v>8</v>
      </c>
      <c r="E11" s="2">
        <v>13</v>
      </c>
      <c r="F11" s="2">
        <f t="shared" si="4"/>
        <v>195</v>
      </c>
      <c r="G11" s="2">
        <f t="shared" si="0"/>
        <v>201</v>
      </c>
      <c r="H11" s="5">
        <f t="shared" si="1"/>
        <v>100.5</v>
      </c>
      <c r="I11" s="46">
        <v>101</v>
      </c>
      <c r="J11" s="6"/>
      <c r="K11" s="120"/>
      <c r="L11" s="3">
        <f t="shared" si="2"/>
        <v>0.99502487562189057</v>
      </c>
      <c r="M11" s="5">
        <f>SUM(0.995*I11)</f>
        <v>100.495</v>
      </c>
      <c r="N11" s="4">
        <f t="shared" si="5"/>
        <v>7.537313432835821E-2</v>
      </c>
      <c r="O11" s="5">
        <f t="shared" si="6"/>
        <v>0.75373134328358216</v>
      </c>
      <c r="P11" s="123"/>
      <c r="Q11" s="105"/>
      <c r="R11" s="111"/>
      <c r="S11" s="114"/>
    </row>
    <row r="12" spans="2:20" ht="15.75" x14ac:dyDescent="0.25">
      <c r="B12" s="2">
        <v>7</v>
      </c>
      <c r="C12" s="23" t="str">
        <f t="shared" si="3"/>
        <v>:-)</v>
      </c>
      <c r="D12" s="27" t="s">
        <v>9</v>
      </c>
      <c r="E12" s="2">
        <v>12</v>
      </c>
      <c r="F12" s="2">
        <f t="shared" si="4"/>
        <v>180</v>
      </c>
      <c r="G12" s="2">
        <f t="shared" si="0"/>
        <v>186</v>
      </c>
      <c r="H12" s="2">
        <f t="shared" si="1"/>
        <v>93</v>
      </c>
      <c r="I12" s="46">
        <v>93</v>
      </c>
      <c r="J12" s="6"/>
      <c r="K12" s="120"/>
      <c r="L12" s="3">
        <f t="shared" si="2"/>
        <v>1.075268817204301</v>
      </c>
      <c r="M12" s="5">
        <f>SUM(1.075*I12)</f>
        <v>99.974999999999994</v>
      </c>
      <c r="N12" s="4">
        <f t="shared" si="5"/>
        <v>6.9402985074626861E-2</v>
      </c>
      <c r="O12" s="5">
        <f t="shared" si="6"/>
        <v>0.69402985074626855</v>
      </c>
      <c r="P12" s="123"/>
      <c r="Q12" s="105"/>
      <c r="R12" s="111"/>
      <c r="S12" s="114"/>
    </row>
    <row r="13" spans="2:20" ht="15.75" x14ac:dyDescent="0.25">
      <c r="B13" s="2">
        <v>8</v>
      </c>
      <c r="C13" s="23" t="str">
        <f t="shared" si="3"/>
        <v>:-)</v>
      </c>
      <c r="D13" s="27" t="s">
        <v>24</v>
      </c>
      <c r="E13" s="2">
        <v>15</v>
      </c>
      <c r="F13" s="2">
        <f t="shared" si="4"/>
        <v>225</v>
      </c>
      <c r="G13" s="2">
        <f t="shared" si="0"/>
        <v>231</v>
      </c>
      <c r="H13" s="5">
        <f t="shared" si="1"/>
        <v>115.5</v>
      </c>
      <c r="I13" s="46">
        <v>116</v>
      </c>
      <c r="J13" s="6"/>
      <c r="K13" s="120"/>
      <c r="L13" s="3">
        <f t="shared" si="2"/>
        <v>0.86580086580086579</v>
      </c>
      <c r="M13" s="5">
        <f>SUM(0.866*I13)</f>
        <v>100.456</v>
      </c>
      <c r="N13" s="4">
        <f t="shared" si="5"/>
        <v>8.6567164179104483E-2</v>
      </c>
      <c r="O13" s="5">
        <f t="shared" si="6"/>
        <v>0.86567164179104483</v>
      </c>
      <c r="P13" s="123"/>
      <c r="Q13" s="105"/>
      <c r="R13" s="111"/>
      <c r="S13" s="114"/>
    </row>
    <row r="14" spans="2:20" ht="15.75" x14ac:dyDescent="0.25">
      <c r="B14" s="2">
        <v>9</v>
      </c>
      <c r="C14" s="23" t="str">
        <f t="shared" si="3"/>
        <v>:-)</v>
      </c>
      <c r="D14" s="27" t="s">
        <v>25</v>
      </c>
      <c r="E14" s="2">
        <v>11</v>
      </c>
      <c r="F14" s="2">
        <f t="shared" si="4"/>
        <v>165</v>
      </c>
      <c r="G14" s="2">
        <f t="shared" si="0"/>
        <v>171</v>
      </c>
      <c r="H14" s="5">
        <f t="shared" si="1"/>
        <v>85.5</v>
      </c>
      <c r="I14" s="46">
        <v>86</v>
      </c>
      <c r="J14" s="6"/>
      <c r="K14" s="120"/>
      <c r="L14" s="3">
        <f t="shared" si="2"/>
        <v>1.1695906432748537</v>
      </c>
      <c r="M14" s="5">
        <f>SUM(1.168*I14)</f>
        <v>100.44799999999999</v>
      </c>
      <c r="N14" s="4">
        <f t="shared" si="5"/>
        <v>6.4179104477611937E-2</v>
      </c>
      <c r="O14" s="5">
        <f t="shared" si="6"/>
        <v>0.64179104477611937</v>
      </c>
      <c r="P14" s="123"/>
      <c r="Q14" s="105"/>
      <c r="R14" s="111"/>
      <c r="S14" s="114"/>
    </row>
    <row r="15" spans="2:20" ht="15.75" x14ac:dyDescent="0.25">
      <c r="B15" s="2">
        <v>10</v>
      </c>
      <c r="C15" s="23" t="str">
        <f t="shared" si="3"/>
        <v>X (</v>
      </c>
      <c r="D15" s="27" t="s">
        <v>26</v>
      </c>
      <c r="E15" s="2">
        <v>13</v>
      </c>
      <c r="F15" s="2">
        <f t="shared" si="4"/>
        <v>195</v>
      </c>
      <c r="G15" s="2">
        <f t="shared" si="0"/>
        <v>201</v>
      </c>
      <c r="H15" s="5">
        <f t="shared" si="1"/>
        <v>100.5</v>
      </c>
      <c r="I15" s="46">
        <v>11</v>
      </c>
      <c r="J15" s="6"/>
      <c r="K15" s="120"/>
      <c r="L15" s="3">
        <f t="shared" si="2"/>
        <v>0.99502487562189057</v>
      </c>
      <c r="M15" s="5">
        <f>SUM(0.995*I15)</f>
        <v>10.945</v>
      </c>
      <c r="N15" s="4">
        <f t="shared" si="5"/>
        <v>8.2089552238805968E-3</v>
      </c>
      <c r="O15" s="5">
        <f t="shared" si="6"/>
        <v>8.2089552238805971E-2</v>
      </c>
      <c r="P15" s="123"/>
      <c r="Q15" s="105"/>
      <c r="R15" s="111"/>
      <c r="S15" s="114"/>
    </row>
    <row r="16" spans="2:20" ht="15.75" x14ac:dyDescent="0.25">
      <c r="B16" s="2">
        <v>11</v>
      </c>
      <c r="C16" s="23" t="str">
        <f t="shared" si="3"/>
        <v>X (</v>
      </c>
      <c r="D16" s="27" t="s">
        <v>27</v>
      </c>
      <c r="E16" s="2">
        <v>13</v>
      </c>
      <c r="F16" s="2">
        <f t="shared" si="4"/>
        <v>195</v>
      </c>
      <c r="G16" s="2">
        <f t="shared" si="0"/>
        <v>201</v>
      </c>
      <c r="H16" s="5">
        <f t="shared" si="1"/>
        <v>100.5</v>
      </c>
      <c r="I16" s="46">
        <v>11</v>
      </c>
      <c r="J16" s="6"/>
      <c r="K16" s="120"/>
      <c r="L16" s="3">
        <f t="shared" si="2"/>
        <v>0.99502487562189057</v>
      </c>
      <c r="M16" s="5">
        <f>SUM(0.995*I16)</f>
        <v>10.945</v>
      </c>
      <c r="N16" s="4">
        <f t="shared" si="5"/>
        <v>8.2089552238805968E-3</v>
      </c>
      <c r="O16" s="5">
        <f t="shared" si="6"/>
        <v>8.2089552238805971E-2</v>
      </c>
      <c r="P16" s="123"/>
      <c r="Q16" s="105"/>
      <c r="R16" s="111"/>
      <c r="S16" s="114"/>
    </row>
    <row r="17" spans="2:21" ht="15.75" x14ac:dyDescent="0.25">
      <c r="B17" s="2">
        <v>12</v>
      </c>
      <c r="C17" s="23" t="str">
        <f t="shared" si="3"/>
        <v>:-)</v>
      </c>
      <c r="D17" s="27" t="s">
        <v>28</v>
      </c>
      <c r="E17" s="2">
        <v>14</v>
      </c>
      <c r="F17" s="2">
        <f t="shared" si="4"/>
        <v>210</v>
      </c>
      <c r="G17" s="2">
        <f t="shared" si="0"/>
        <v>216</v>
      </c>
      <c r="H17" s="2">
        <f t="shared" si="1"/>
        <v>108</v>
      </c>
      <c r="I17" s="46">
        <v>108</v>
      </c>
      <c r="J17" s="6"/>
      <c r="K17" s="120"/>
      <c r="L17" s="3">
        <f t="shared" si="2"/>
        <v>0.92592592592592593</v>
      </c>
      <c r="M17" s="5">
        <f>SUM(0.926*I17)</f>
        <v>100.00800000000001</v>
      </c>
      <c r="N17" s="4">
        <f t="shared" si="5"/>
        <v>8.0597014925373134E-2</v>
      </c>
      <c r="O17" s="5">
        <f t="shared" si="6"/>
        <v>0.80597014925373134</v>
      </c>
      <c r="P17" s="123"/>
      <c r="Q17" s="105"/>
      <c r="R17" s="111"/>
      <c r="S17" s="114"/>
    </row>
    <row r="18" spans="2:21" ht="15.75" x14ac:dyDescent="0.25">
      <c r="B18" s="2">
        <v>13</v>
      </c>
      <c r="C18" s="23" t="str">
        <f t="shared" si="3"/>
        <v>:-)</v>
      </c>
      <c r="D18" s="27" t="s">
        <v>29</v>
      </c>
      <c r="E18" s="2">
        <v>8</v>
      </c>
      <c r="F18" s="2">
        <f t="shared" si="4"/>
        <v>120</v>
      </c>
      <c r="G18" s="2">
        <f t="shared" si="0"/>
        <v>126</v>
      </c>
      <c r="H18" s="2">
        <f t="shared" si="1"/>
        <v>63</v>
      </c>
      <c r="I18" s="46">
        <v>63</v>
      </c>
      <c r="J18" s="6"/>
      <c r="K18" s="120"/>
      <c r="L18" s="3">
        <f t="shared" si="2"/>
        <v>1.5873015873015872</v>
      </c>
      <c r="M18" s="5">
        <f>SUM(1.587*I18)</f>
        <v>99.980999999999995</v>
      </c>
      <c r="N18" s="4">
        <f t="shared" si="5"/>
        <v>4.7014925373134328E-2</v>
      </c>
      <c r="O18" s="5">
        <f t="shared" si="6"/>
        <v>0.47014925373134331</v>
      </c>
      <c r="P18" s="123"/>
      <c r="Q18" s="105"/>
      <c r="R18" s="111"/>
      <c r="S18" s="114"/>
    </row>
    <row r="19" spans="2:21" ht="15.75" x14ac:dyDescent="0.25">
      <c r="B19" s="2">
        <v>14</v>
      </c>
      <c r="C19" s="23" t="str">
        <f t="shared" si="3"/>
        <v>:-)</v>
      </c>
      <c r="D19" s="27" t="s">
        <v>30</v>
      </c>
      <c r="E19" s="2">
        <v>11</v>
      </c>
      <c r="F19" s="2">
        <f t="shared" si="4"/>
        <v>165</v>
      </c>
      <c r="G19" s="2">
        <f t="shared" si="0"/>
        <v>171</v>
      </c>
      <c r="H19" s="5">
        <f t="shared" si="1"/>
        <v>85.5</v>
      </c>
      <c r="I19" s="46">
        <v>86</v>
      </c>
      <c r="J19" s="6"/>
      <c r="K19" s="120"/>
      <c r="L19" s="3">
        <f t="shared" si="2"/>
        <v>1.1695906432748537</v>
      </c>
      <c r="M19" s="5">
        <f>SUM(1.168*I19)</f>
        <v>100.44799999999999</v>
      </c>
      <c r="N19" s="4">
        <f t="shared" si="5"/>
        <v>6.4179104477611937E-2</v>
      </c>
      <c r="O19" s="5">
        <f t="shared" si="6"/>
        <v>0.64179104477611937</v>
      </c>
      <c r="P19" s="123"/>
      <c r="Q19" s="105"/>
      <c r="R19" s="111"/>
      <c r="S19" s="114"/>
    </row>
    <row r="20" spans="2:21" ht="15.75" x14ac:dyDescent="0.25">
      <c r="B20" s="2">
        <v>15</v>
      </c>
      <c r="C20" s="23" t="str">
        <f t="shared" si="3"/>
        <v>:-)</v>
      </c>
      <c r="D20" s="27" t="s">
        <v>31</v>
      </c>
      <c r="E20" s="2">
        <v>12</v>
      </c>
      <c r="F20" s="2">
        <f t="shared" si="4"/>
        <v>180</v>
      </c>
      <c r="G20" s="2">
        <f t="shared" si="0"/>
        <v>186</v>
      </c>
      <c r="H20" s="2">
        <f t="shared" si="1"/>
        <v>93</v>
      </c>
      <c r="I20" s="46">
        <v>93</v>
      </c>
      <c r="J20" s="6"/>
      <c r="K20" s="120"/>
      <c r="L20" s="3">
        <f t="shared" si="2"/>
        <v>1.075268817204301</v>
      </c>
      <c r="M20" s="5">
        <f>SUM(1.075*I20)</f>
        <v>99.974999999999994</v>
      </c>
      <c r="N20" s="4">
        <f t="shared" si="5"/>
        <v>6.9402985074626861E-2</v>
      </c>
      <c r="O20" s="5">
        <f t="shared" si="6"/>
        <v>0.69402985074626855</v>
      </c>
      <c r="P20" s="123"/>
      <c r="Q20" s="105"/>
      <c r="R20" s="111"/>
      <c r="S20" s="114"/>
    </row>
    <row r="21" spans="2:21" ht="15.75" x14ac:dyDescent="0.25">
      <c r="B21" s="2">
        <v>16</v>
      </c>
      <c r="C21" s="23" t="str">
        <f t="shared" si="3"/>
        <v>:-)</v>
      </c>
      <c r="D21" s="27" t="s">
        <v>46</v>
      </c>
      <c r="E21" s="2">
        <v>16</v>
      </c>
      <c r="F21" s="2">
        <f t="shared" si="4"/>
        <v>240</v>
      </c>
      <c r="G21" s="2">
        <f t="shared" si="0"/>
        <v>246</v>
      </c>
      <c r="H21" s="2">
        <f t="shared" si="1"/>
        <v>123</v>
      </c>
      <c r="I21" s="46">
        <v>123</v>
      </c>
      <c r="J21" s="6"/>
      <c r="K21" s="120"/>
      <c r="L21" s="3">
        <f t="shared" si="2"/>
        <v>0.81300813008130079</v>
      </c>
      <c r="M21" s="5">
        <f>SUM(0.813*I21)</f>
        <v>99.998999999999995</v>
      </c>
      <c r="N21" s="4">
        <f t="shared" si="5"/>
        <v>9.1791044776119407E-2</v>
      </c>
      <c r="O21" s="5">
        <f t="shared" si="6"/>
        <v>0.91791044776119413</v>
      </c>
      <c r="P21" s="123"/>
      <c r="Q21" s="105"/>
      <c r="R21" s="111"/>
      <c r="S21" s="114"/>
    </row>
    <row r="22" spans="2:21" ht="16.5" thickBot="1" x14ac:dyDescent="0.3">
      <c r="B22" s="2">
        <v>17</v>
      </c>
      <c r="C22" s="23" t="str">
        <f t="shared" si="3"/>
        <v>:-)</v>
      </c>
      <c r="D22" s="27" t="s">
        <v>32</v>
      </c>
      <c r="E22" s="2">
        <v>9</v>
      </c>
      <c r="F22" s="2">
        <f t="shared" si="4"/>
        <v>135</v>
      </c>
      <c r="G22" s="2">
        <f t="shared" si="0"/>
        <v>141</v>
      </c>
      <c r="H22" s="5">
        <f t="shared" si="1"/>
        <v>70.5</v>
      </c>
      <c r="I22" s="46">
        <v>71</v>
      </c>
      <c r="J22" s="6"/>
      <c r="K22" s="121"/>
      <c r="L22" s="3">
        <f t="shared" si="2"/>
        <v>1.4184397163120568</v>
      </c>
      <c r="M22" s="5">
        <f>SUM(1.415*I22)</f>
        <v>100.465</v>
      </c>
      <c r="N22" s="4">
        <f t="shared" si="5"/>
        <v>5.2985074626865671E-2</v>
      </c>
      <c r="O22" s="5">
        <f t="shared" si="6"/>
        <v>0.52985074626865669</v>
      </c>
      <c r="P22" s="124"/>
      <c r="Q22" s="106"/>
      <c r="R22" s="111"/>
      <c r="S22" s="114"/>
      <c r="T22" s="54">
        <f>SUM(H9:H22)</f>
        <v>1339.5</v>
      </c>
    </row>
    <row r="23" spans="2:21" ht="45" customHeight="1" thickBot="1" x14ac:dyDescent="0.75">
      <c r="C23" s="42" t="s">
        <v>53</v>
      </c>
      <c r="D23" s="16" t="s">
        <v>10</v>
      </c>
      <c r="E23" s="17" t="s">
        <v>0</v>
      </c>
      <c r="F23" s="17" t="s">
        <v>49</v>
      </c>
      <c r="G23" s="44" t="s">
        <v>1</v>
      </c>
      <c r="H23" s="18">
        <v>0.5</v>
      </c>
      <c r="I23" s="47" t="s">
        <v>56</v>
      </c>
      <c r="J23" s="6"/>
      <c r="K23" s="50" t="s">
        <v>61</v>
      </c>
      <c r="L23" s="11"/>
      <c r="M23" s="10" t="s">
        <v>5</v>
      </c>
      <c r="N23" s="11"/>
      <c r="O23" s="12"/>
      <c r="P23" s="13" t="s">
        <v>13</v>
      </c>
      <c r="Q23" s="13" t="s">
        <v>57</v>
      </c>
      <c r="R23" s="111"/>
      <c r="S23" s="114"/>
      <c r="U23" s="1"/>
    </row>
    <row r="24" spans="2:21" ht="15.75" x14ac:dyDescent="0.25">
      <c r="B24" s="2">
        <v>18</v>
      </c>
      <c r="C24" s="25" t="str">
        <f>IF(M24&lt;60,"x (",":-)")</f>
        <v>:-)</v>
      </c>
      <c r="D24" s="28" t="s">
        <v>33</v>
      </c>
      <c r="E24" s="2">
        <v>11</v>
      </c>
      <c r="F24" s="2">
        <f>SUM(E24*12)</f>
        <v>132</v>
      </c>
      <c r="G24" s="2">
        <f t="shared" si="0"/>
        <v>138</v>
      </c>
      <c r="H24" s="2">
        <f t="shared" si="1"/>
        <v>69</v>
      </c>
      <c r="I24" s="46">
        <v>69</v>
      </c>
      <c r="J24" s="6"/>
      <c r="K24" s="126">
        <v>216</v>
      </c>
      <c r="L24" s="3">
        <f t="shared" si="2"/>
        <v>1.4492753623188406</v>
      </c>
      <c r="M24" s="5">
        <f>SUM(1.449*I24)</f>
        <v>99.981000000000009</v>
      </c>
      <c r="N24" s="4">
        <f>SUM(I24/216)</f>
        <v>0.31944444444444442</v>
      </c>
      <c r="O24" s="5">
        <f>SUM(N24*4)</f>
        <v>1.2777777777777777</v>
      </c>
      <c r="P24" s="122">
        <f>SUM(N24:O33)</f>
        <v>5.0000000000000009</v>
      </c>
      <c r="Q24" s="125" t="str">
        <f>IF(P24&gt;4,"CAPAI","TIDAK CAPAI")</f>
        <v>CAPAI</v>
      </c>
      <c r="R24" s="111"/>
      <c r="S24" s="114"/>
    </row>
    <row r="25" spans="2:21" ht="15.75" x14ac:dyDescent="0.25">
      <c r="B25" s="2">
        <v>19</v>
      </c>
      <c r="C25" s="25" t="str">
        <f t="shared" ref="C25:C33" si="7">IF(M25&lt;60,"x (",":-)")</f>
        <v>:-)</v>
      </c>
      <c r="D25" s="28" t="s">
        <v>34</v>
      </c>
      <c r="E25" s="2">
        <v>5</v>
      </c>
      <c r="F25" s="2">
        <f t="shared" ref="F25:F33" si="8">SUM(E25*12)</f>
        <v>60</v>
      </c>
      <c r="G25" s="2">
        <f t="shared" si="0"/>
        <v>66</v>
      </c>
      <c r="H25" s="2">
        <f t="shared" si="1"/>
        <v>33</v>
      </c>
      <c r="I25" s="46">
        <v>33</v>
      </c>
      <c r="J25" s="6"/>
      <c r="K25" s="127"/>
      <c r="L25" s="3">
        <f t="shared" si="2"/>
        <v>3.0303030303030303</v>
      </c>
      <c r="M25" s="5">
        <f>SUM(3.03*I25)</f>
        <v>99.99</v>
      </c>
      <c r="N25" s="4">
        <f t="shared" ref="N25:N33" si="9">SUM(I25/216)</f>
        <v>0.15277777777777779</v>
      </c>
      <c r="O25" s="5">
        <f t="shared" ref="O25:O33" si="10">SUM(N25*4)</f>
        <v>0.61111111111111116</v>
      </c>
      <c r="P25" s="123"/>
      <c r="Q25" s="105"/>
      <c r="R25" s="111"/>
      <c r="S25" s="114"/>
    </row>
    <row r="26" spans="2:21" ht="15.75" x14ac:dyDescent="0.25">
      <c r="B26" s="2">
        <v>20</v>
      </c>
      <c r="C26" s="25" t="str">
        <f t="shared" si="7"/>
        <v>:-)</v>
      </c>
      <c r="D26" s="28" t="s">
        <v>35</v>
      </c>
      <c r="E26" s="2">
        <v>2</v>
      </c>
      <c r="F26" s="2">
        <f t="shared" si="8"/>
        <v>24</v>
      </c>
      <c r="G26" s="2">
        <f t="shared" si="0"/>
        <v>30</v>
      </c>
      <c r="H26" s="2">
        <f t="shared" si="1"/>
        <v>15</v>
      </c>
      <c r="I26" s="46">
        <v>15</v>
      </c>
      <c r="J26" s="6"/>
      <c r="K26" s="127"/>
      <c r="L26" s="3">
        <f t="shared" si="2"/>
        <v>6.666666666666667</v>
      </c>
      <c r="M26" s="5">
        <f>SUM(6.667*I26)</f>
        <v>100.005</v>
      </c>
      <c r="N26" s="4">
        <f t="shared" si="9"/>
        <v>6.9444444444444448E-2</v>
      </c>
      <c r="O26" s="5">
        <f t="shared" si="10"/>
        <v>0.27777777777777779</v>
      </c>
      <c r="P26" s="123"/>
      <c r="Q26" s="105"/>
      <c r="R26" s="111"/>
      <c r="S26" s="114"/>
    </row>
    <row r="27" spans="2:21" ht="15.75" x14ac:dyDescent="0.25">
      <c r="B27" s="2">
        <v>21</v>
      </c>
      <c r="C27" s="25" t="str">
        <f t="shared" si="7"/>
        <v>:-)</v>
      </c>
      <c r="D27" s="28" t="s">
        <v>36</v>
      </c>
      <c r="E27" s="2">
        <v>1</v>
      </c>
      <c r="F27" s="2">
        <f t="shared" si="8"/>
        <v>12</v>
      </c>
      <c r="G27" s="2">
        <f t="shared" si="0"/>
        <v>18</v>
      </c>
      <c r="H27" s="2">
        <f t="shared" si="1"/>
        <v>9</v>
      </c>
      <c r="I27" s="46">
        <v>9</v>
      </c>
      <c r="J27" s="6"/>
      <c r="K27" s="127"/>
      <c r="L27" s="3">
        <f t="shared" si="2"/>
        <v>11.111111111111111</v>
      </c>
      <c r="M27" s="5">
        <f>SUM(11.111*I27)</f>
        <v>99.999000000000009</v>
      </c>
      <c r="N27" s="4">
        <f t="shared" si="9"/>
        <v>4.1666666666666664E-2</v>
      </c>
      <c r="O27" s="5">
        <f t="shared" si="10"/>
        <v>0.16666666666666666</v>
      </c>
      <c r="P27" s="123"/>
      <c r="Q27" s="105"/>
      <c r="R27" s="111"/>
      <c r="S27" s="114"/>
    </row>
    <row r="28" spans="2:21" ht="15.75" x14ac:dyDescent="0.25">
      <c r="B28" s="2">
        <v>22</v>
      </c>
      <c r="C28" s="25" t="str">
        <f t="shared" si="7"/>
        <v>:-)</v>
      </c>
      <c r="D28" s="28" t="s">
        <v>45</v>
      </c>
      <c r="E28" s="2">
        <v>1</v>
      </c>
      <c r="F28" s="2">
        <f t="shared" si="8"/>
        <v>12</v>
      </c>
      <c r="G28" s="2">
        <f t="shared" si="0"/>
        <v>18</v>
      </c>
      <c r="H28" s="2">
        <f t="shared" si="1"/>
        <v>9</v>
      </c>
      <c r="I28" s="46">
        <v>9</v>
      </c>
      <c r="J28" s="6"/>
      <c r="K28" s="127"/>
      <c r="L28" s="3">
        <f t="shared" si="2"/>
        <v>11.111111111111111</v>
      </c>
      <c r="M28" s="5">
        <f>SUM(11.111*I28)</f>
        <v>99.999000000000009</v>
      </c>
      <c r="N28" s="4">
        <f t="shared" si="9"/>
        <v>4.1666666666666664E-2</v>
      </c>
      <c r="O28" s="5">
        <f t="shared" si="10"/>
        <v>0.16666666666666666</v>
      </c>
      <c r="P28" s="123"/>
      <c r="Q28" s="105"/>
      <c r="R28" s="111"/>
      <c r="S28" s="114"/>
    </row>
    <row r="29" spans="2:21" ht="15.75" x14ac:dyDescent="0.25">
      <c r="B29" s="2">
        <v>23</v>
      </c>
      <c r="C29" s="25" t="str">
        <f t="shared" si="7"/>
        <v>:-)</v>
      </c>
      <c r="D29" s="28" t="s">
        <v>37</v>
      </c>
      <c r="E29" s="2">
        <v>4</v>
      </c>
      <c r="F29" s="2">
        <f t="shared" si="8"/>
        <v>48</v>
      </c>
      <c r="G29" s="2">
        <f t="shared" si="0"/>
        <v>54</v>
      </c>
      <c r="H29" s="2">
        <f t="shared" si="1"/>
        <v>27</v>
      </c>
      <c r="I29" s="46">
        <v>27</v>
      </c>
      <c r="J29" s="6"/>
      <c r="K29" s="127"/>
      <c r="L29" s="3">
        <f t="shared" si="2"/>
        <v>3.7037037037037037</v>
      </c>
      <c r="M29" s="5">
        <f>SUM(3.704*I29)</f>
        <v>100.00800000000001</v>
      </c>
      <c r="N29" s="4">
        <f t="shared" si="9"/>
        <v>0.125</v>
      </c>
      <c r="O29" s="5">
        <f t="shared" si="10"/>
        <v>0.5</v>
      </c>
      <c r="P29" s="123"/>
      <c r="Q29" s="105"/>
      <c r="R29" s="111"/>
      <c r="S29" s="114"/>
    </row>
    <row r="30" spans="2:21" ht="15.75" x14ac:dyDescent="0.25">
      <c r="B30" s="2">
        <v>24</v>
      </c>
      <c r="C30" s="25" t="str">
        <f t="shared" si="7"/>
        <v>:-)</v>
      </c>
      <c r="D30" s="28" t="s">
        <v>38</v>
      </c>
      <c r="E30" s="2">
        <v>2</v>
      </c>
      <c r="F30" s="2">
        <f t="shared" si="8"/>
        <v>24</v>
      </c>
      <c r="G30" s="2">
        <f t="shared" si="0"/>
        <v>30</v>
      </c>
      <c r="H30" s="2">
        <f t="shared" si="1"/>
        <v>15</v>
      </c>
      <c r="I30" s="46">
        <v>15</v>
      </c>
      <c r="J30" s="6"/>
      <c r="K30" s="127"/>
      <c r="L30" s="3">
        <f t="shared" si="2"/>
        <v>6.666666666666667</v>
      </c>
      <c r="M30" s="5">
        <f>SUM(6.667*I30)</f>
        <v>100.005</v>
      </c>
      <c r="N30" s="4">
        <f t="shared" si="9"/>
        <v>6.9444444444444448E-2</v>
      </c>
      <c r="O30" s="5">
        <f t="shared" si="10"/>
        <v>0.27777777777777779</v>
      </c>
      <c r="P30" s="123"/>
      <c r="Q30" s="105"/>
      <c r="R30" s="111"/>
      <c r="S30" s="114"/>
    </row>
    <row r="31" spans="2:21" ht="15.75" x14ac:dyDescent="0.25">
      <c r="B31" s="2">
        <v>25</v>
      </c>
      <c r="C31" s="25" t="str">
        <f t="shared" si="7"/>
        <v>:-)</v>
      </c>
      <c r="D31" s="28" t="s">
        <v>39</v>
      </c>
      <c r="E31" s="2">
        <v>2</v>
      </c>
      <c r="F31" s="2">
        <f t="shared" si="8"/>
        <v>24</v>
      </c>
      <c r="G31" s="2">
        <f t="shared" si="0"/>
        <v>30</v>
      </c>
      <c r="H31" s="2">
        <f t="shared" si="1"/>
        <v>15</v>
      </c>
      <c r="I31" s="46">
        <v>15</v>
      </c>
      <c r="J31" s="6"/>
      <c r="K31" s="127"/>
      <c r="L31" s="3">
        <f t="shared" si="2"/>
        <v>6.666666666666667</v>
      </c>
      <c r="M31" s="5">
        <f>SUM(6.667*I31)</f>
        <v>100.005</v>
      </c>
      <c r="N31" s="4">
        <f t="shared" si="9"/>
        <v>6.9444444444444448E-2</v>
      </c>
      <c r="O31" s="5">
        <f t="shared" si="10"/>
        <v>0.27777777777777779</v>
      </c>
      <c r="P31" s="123"/>
      <c r="Q31" s="105"/>
      <c r="R31" s="111"/>
      <c r="S31" s="114"/>
    </row>
    <row r="32" spans="2:21" ht="15.75" x14ac:dyDescent="0.25">
      <c r="B32" s="2">
        <v>26</v>
      </c>
      <c r="C32" s="25" t="str">
        <f t="shared" si="7"/>
        <v>:-)</v>
      </c>
      <c r="D32" s="28" t="s">
        <v>40</v>
      </c>
      <c r="E32" s="2">
        <v>1</v>
      </c>
      <c r="F32" s="2">
        <f t="shared" si="8"/>
        <v>12</v>
      </c>
      <c r="G32" s="2">
        <f t="shared" si="0"/>
        <v>18</v>
      </c>
      <c r="H32" s="2">
        <f t="shared" si="1"/>
        <v>9</v>
      </c>
      <c r="I32" s="46">
        <v>9</v>
      </c>
      <c r="J32" s="6"/>
      <c r="K32" s="127"/>
      <c r="L32" s="3">
        <f t="shared" si="2"/>
        <v>11.111111111111111</v>
      </c>
      <c r="M32" s="5">
        <f>SUM(11.111*I32)</f>
        <v>99.999000000000009</v>
      </c>
      <c r="N32" s="4">
        <f t="shared" si="9"/>
        <v>4.1666666666666664E-2</v>
      </c>
      <c r="O32" s="5">
        <f t="shared" si="10"/>
        <v>0.16666666666666666</v>
      </c>
      <c r="P32" s="123"/>
      <c r="Q32" s="105"/>
      <c r="R32" s="111"/>
      <c r="S32" s="114"/>
    </row>
    <row r="33" spans="2:20" ht="16.5" thickBot="1" x14ac:dyDescent="0.3">
      <c r="B33" s="2">
        <v>27</v>
      </c>
      <c r="C33" s="25" t="str">
        <f t="shared" si="7"/>
        <v>:-)</v>
      </c>
      <c r="D33" s="28" t="s">
        <v>43</v>
      </c>
      <c r="E33" s="2">
        <v>2</v>
      </c>
      <c r="F33" s="2">
        <f t="shared" si="8"/>
        <v>24</v>
      </c>
      <c r="G33" s="2">
        <f t="shared" si="0"/>
        <v>30</v>
      </c>
      <c r="H33" s="2">
        <f t="shared" si="1"/>
        <v>15</v>
      </c>
      <c r="I33" s="46">
        <v>15</v>
      </c>
      <c r="J33" s="6"/>
      <c r="K33" s="127"/>
      <c r="L33" s="3">
        <f t="shared" si="2"/>
        <v>6.666666666666667</v>
      </c>
      <c r="M33" s="5">
        <f>SUM(6.667*I33)</f>
        <v>100.005</v>
      </c>
      <c r="N33" s="4">
        <f t="shared" si="9"/>
        <v>6.9444444444444448E-2</v>
      </c>
      <c r="O33" s="5">
        <f t="shared" si="10"/>
        <v>0.27777777777777779</v>
      </c>
      <c r="P33" s="123"/>
      <c r="Q33" s="105"/>
      <c r="R33" s="111"/>
      <c r="S33" s="114"/>
      <c r="T33" s="54">
        <f>SUM(H24:H33)</f>
        <v>216</v>
      </c>
    </row>
    <row r="34" spans="2:20" ht="46.5" x14ac:dyDescent="0.7">
      <c r="C34" s="42" t="s">
        <v>52</v>
      </c>
      <c r="D34" s="19" t="s">
        <v>16</v>
      </c>
      <c r="E34" s="20" t="s">
        <v>0</v>
      </c>
      <c r="F34" s="20" t="s">
        <v>47</v>
      </c>
      <c r="G34" s="21" t="s">
        <v>1</v>
      </c>
      <c r="H34" s="22">
        <v>0.5</v>
      </c>
      <c r="I34" s="48" t="s">
        <v>56</v>
      </c>
      <c r="J34" s="6"/>
      <c r="K34" s="50" t="s">
        <v>62</v>
      </c>
      <c r="L34" s="11"/>
      <c r="M34" s="10" t="s">
        <v>5</v>
      </c>
      <c r="N34" s="11"/>
      <c r="O34" s="12"/>
      <c r="P34" s="13" t="s">
        <v>20</v>
      </c>
      <c r="Q34" s="13" t="s">
        <v>57</v>
      </c>
      <c r="R34" s="111"/>
      <c r="S34" s="114"/>
    </row>
    <row r="35" spans="2:20" ht="15.75" x14ac:dyDescent="0.25">
      <c r="B35" s="2">
        <v>28</v>
      </c>
      <c r="C35" s="26" t="str">
        <f>IF(M35&lt;70,"x (",":-)")</f>
        <v>:-)</v>
      </c>
      <c r="D35" s="29" t="s">
        <v>17</v>
      </c>
      <c r="E35" s="2">
        <v>2</v>
      </c>
      <c r="F35" s="2">
        <f>SUM(E35*25)</f>
        <v>50</v>
      </c>
      <c r="G35" s="2">
        <f t="shared" si="0"/>
        <v>56</v>
      </c>
      <c r="H35" s="2">
        <f t="shared" si="1"/>
        <v>28</v>
      </c>
      <c r="I35" s="46">
        <v>28</v>
      </c>
      <c r="J35" s="6"/>
      <c r="K35" s="119">
        <v>115</v>
      </c>
      <c r="L35" s="3">
        <f>SUM(100/H35)</f>
        <v>3.5714285714285716</v>
      </c>
      <c r="M35" s="5">
        <f>SUM(3.571*I35)</f>
        <v>99.988</v>
      </c>
      <c r="N35" s="4">
        <f>SUM(I35/115)</f>
        <v>0.24347826086956523</v>
      </c>
      <c r="O35" s="5">
        <f>SUM(N35*19.8)</f>
        <v>4.8208695652173921</v>
      </c>
      <c r="P35" s="122">
        <f>SUM(O35:O39)</f>
        <v>19.972173913043481</v>
      </c>
      <c r="Q35" s="104" t="str">
        <f>IF(P35&gt;19,"CAPAI","TIDAK CAPAI")</f>
        <v>CAPAI</v>
      </c>
      <c r="R35" s="111"/>
      <c r="S35" s="114"/>
    </row>
    <row r="36" spans="2:20" ht="15.75" x14ac:dyDescent="0.25">
      <c r="B36" s="2">
        <v>29</v>
      </c>
      <c r="C36" s="26" t="str">
        <f>IF(M36&lt;70,"x (",":-)")</f>
        <v>:-)</v>
      </c>
      <c r="D36" s="29" t="s">
        <v>18</v>
      </c>
      <c r="E36" s="2">
        <v>2</v>
      </c>
      <c r="F36" s="2">
        <f>SUM(E36*25)</f>
        <v>50</v>
      </c>
      <c r="G36" s="2">
        <f t="shared" si="0"/>
        <v>56</v>
      </c>
      <c r="H36" s="2">
        <f t="shared" si="1"/>
        <v>28</v>
      </c>
      <c r="I36" s="46">
        <v>28</v>
      </c>
      <c r="J36" s="6"/>
      <c r="K36" s="120"/>
      <c r="L36" s="3">
        <f>SUM(100/H36)</f>
        <v>3.5714285714285716</v>
      </c>
      <c r="M36" s="5">
        <f>SUM(3.571*I36)</f>
        <v>99.988</v>
      </c>
      <c r="N36" s="4">
        <f>SUM(I36/115)</f>
        <v>0.24347826086956523</v>
      </c>
      <c r="O36" s="5">
        <f>SUM(N36*19.8)</f>
        <v>4.8208695652173921</v>
      </c>
      <c r="P36" s="123"/>
      <c r="Q36" s="105"/>
      <c r="R36" s="111"/>
      <c r="S36" s="114"/>
    </row>
    <row r="37" spans="2:20" ht="15.75" x14ac:dyDescent="0.25">
      <c r="B37" s="2">
        <v>30</v>
      </c>
      <c r="C37" s="26" t="str">
        <f>IF(M37&lt;70,"x (",":-)")</f>
        <v>:-)</v>
      </c>
      <c r="D37" s="29" t="s">
        <v>19</v>
      </c>
      <c r="E37" s="2">
        <v>2</v>
      </c>
      <c r="F37" s="2">
        <f>SUM(E37*25)</f>
        <v>50</v>
      </c>
      <c r="G37" s="2">
        <f t="shared" si="0"/>
        <v>56</v>
      </c>
      <c r="H37" s="2">
        <f t="shared" si="1"/>
        <v>28</v>
      </c>
      <c r="I37" s="46">
        <v>28</v>
      </c>
      <c r="J37" s="6"/>
      <c r="K37" s="120"/>
      <c r="L37" s="3">
        <f>SUM(100/H37)</f>
        <v>3.5714285714285716</v>
      </c>
      <c r="M37" s="5">
        <f>SUM(3.571*I37)</f>
        <v>99.988</v>
      </c>
      <c r="N37" s="4">
        <f>SUM(I37/115)</f>
        <v>0.24347826086956523</v>
      </c>
      <c r="O37" s="5">
        <f>SUM(N37*19.8)</f>
        <v>4.8208695652173921</v>
      </c>
      <c r="P37" s="123"/>
      <c r="Q37" s="105"/>
      <c r="R37" s="111"/>
      <c r="S37" s="114"/>
    </row>
    <row r="38" spans="2:20" ht="15.75" x14ac:dyDescent="0.25">
      <c r="B38" s="2">
        <v>31</v>
      </c>
      <c r="C38" s="26" t="str">
        <f>IF(M38&lt;70,"x (",":-)")</f>
        <v>:-)</v>
      </c>
      <c r="D38" s="29" t="s">
        <v>21</v>
      </c>
      <c r="E38" s="2">
        <v>1</v>
      </c>
      <c r="F38" s="2">
        <f>SUM(E38*25)</f>
        <v>25</v>
      </c>
      <c r="G38" s="2">
        <f t="shared" si="0"/>
        <v>31</v>
      </c>
      <c r="H38" s="5">
        <f t="shared" si="1"/>
        <v>15.5</v>
      </c>
      <c r="I38" s="46">
        <v>16</v>
      </c>
      <c r="J38" s="6"/>
      <c r="K38" s="120"/>
      <c r="L38" s="3">
        <f>SUM(100/H38)</f>
        <v>6.4516129032258061</v>
      </c>
      <c r="M38" s="5">
        <f>SUM(6.25*I38)</f>
        <v>100</v>
      </c>
      <c r="N38" s="4">
        <f>SUM(I38/115)</f>
        <v>0.1391304347826087</v>
      </c>
      <c r="O38" s="5">
        <f>SUM(N38*19.8)</f>
        <v>2.7547826086956522</v>
      </c>
      <c r="P38" s="123"/>
      <c r="Q38" s="105"/>
      <c r="R38" s="111"/>
      <c r="S38" s="114"/>
    </row>
    <row r="39" spans="2:20" ht="15.75" x14ac:dyDescent="0.25">
      <c r="B39" s="2">
        <v>32</v>
      </c>
      <c r="C39" s="26" t="str">
        <f>IF(M39&lt;70,"x (",":-)")</f>
        <v>:-)</v>
      </c>
      <c r="D39" s="29" t="s">
        <v>22</v>
      </c>
      <c r="E39" s="2">
        <v>1</v>
      </c>
      <c r="F39" s="2">
        <f>SUM(E39*25)</f>
        <v>25</v>
      </c>
      <c r="G39" s="2">
        <f t="shared" si="0"/>
        <v>31</v>
      </c>
      <c r="H39" s="32">
        <f t="shared" si="1"/>
        <v>15.5</v>
      </c>
      <c r="I39" s="46">
        <v>16</v>
      </c>
      <c r="J39" s="6"/>
      <c r="K39" s="120"/>
      <c r="L39" s="33">
        <f>SUM(100/H39)</f>
        <v>6.4516129032258061</v>
      </c>
      <c r="M39" s="32">
        <f>SUM(6.25*I39)</f>
        <v>100</v>
      </c>
      <c r="N39" s="4">
        <f>SUM(I39/115)</f>
        <v>0.1391304347826087</v>
      </c>
      <c r="O39" s="5">
        <f>SUM(N39*19.8)</f>
        <v>2.7547826086956522</v>
      </c>
      <c r="P39" s="123"/>
      <c r="Q39" s="106"/>
      <c r="R39" s="112"/>
      <c r="S39" s="115"/>
      <c r="T39" s="54">
        <f>SUM(H35:H39)</f>
        <v>115</v>
      </c>
    </row>
    <row r="40" spans="2:20" x14ac:dyDescent="0.25">
      <c r="G40" s="39">
        <f>SUM(G5:G39)</f>
        <v>4339</v>
      </c>
      <c r="H40" s="34"/>
      <c r="I40" s="41">
        <f>SUM(I35+I36+I37+I38+I39+I33+I32+I31+I30+I29+I28+I27+I26+I25+I24+I22+I21+I20+I19+I18+I17+I16+I15+I14+I13+I12+I11+I10+I9+I7+I6+I5)</f>
        <v>1994</v>
      </c>
      <c r="J40" s="35"/>
      <c r="K40" s="38"/>
      <c r="L40" s="36"/>
      <c r="M40" s="35"/>
      <c r="N40" s="37"/>
      <c r="O40" s="38"/>
      <c r="P40" s="35"/>
      <c r="R40" s="34"/>
      <c r="S40" s="49"/>
    </row>
    <row r="41" spans="2:20" x14ac:dyDescent="0.25">
      <c r="G41" s="52" t="s">
        <v>63</v>
      </c>
      <c r="I41" s="52" t="s">
        <v>64</v>
      </c>
      <c r="K41" s="53">
        <f>SUM(K5+K9+K24+K35)</f>
        <v>2170</v>
      </c>
      <c r="T41" s="54">
        <f>SUM(T39+T33+T22+T7)</f>
        <v>2169.5</v>
      </c>
    </row>
  </sheetData>
  <mergeCells count="17">
    <mergeCell ref="P35:P39"/>
    <mergeCell ref="Q35:Q39"/>
    <mergeCell ref="D1:S1"/>
    <mergeCell ref="D3:I3"/>
    <mergeCell ref="K3:Q3"/>
    <mergeCell ref="R4:R39"/>
    <mergeCell ref="S4:S39"/>
    <mergeCell ref="K5:K7"/>
    <mergeCell ref="P5:P7"/>
    <mergeCell ref="Q5:Q7"/>
    <mergeCell ref="K9:K22"/>
    <mergeCell ref="P9:P22"/>
    <mergeCell ref="Q9:Q22"/>
    <mergeCell ref="K24:K33"/>
    <mergeCell ref="P24:P33"/>
    <mergeCell ref="Q24:Q33"/>
    <mergeCell ref="K35:K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D12" sqref="D12"/>
    </sheetView>
  </sheetViews>
  <sheetFormatPr defaultRowHeight="15" x14ac:dyDescent="0.25"/>
  <cols>
    <col min="1" max="1" width="2.42578125" customWidth="1"/>
    <col min="2" max="2" width="2.5703125" customWidth="1"/>
    <col min="3" max="3" width="34.28515625" customWidth="1"/>
    <col min="4" max="4" width="17.7109375" customWidth="1"/>
    <col min="5" max="5" width="21.7109375" customWidth="1"/>
    <col min="6" max="6" width="24.42578125" bestFit="1" customWidth="1"/>
    <col min="7" max="7" width="25.28515625" customWidth="1"/>
  </cols>
  <sheetData>
    <row r="1" spans="1:10" ht="31.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30" customHeight="1" x14ac:dyDescent="0.25">
      <c r="A2" s="59"/>
      <c r="B2" s="59"/>
      <c r="C2" s="59"/>
      <c r="D2" s="102"/>
      <c r="E2" s="131" t="s">
        <v>70</v>
      </c>
      <c r="F2" s="131"/>
      <c r="G2" s="131"/>
      <c r="H2" s="59"/>
      <c r="I2" s="59"/>
      <c r="J2" s="59"/>
    </row>
    <row r="3" spans="1:10" ht="18.75" x14ac:dyDescent="0.3">
      <c r="A3" s="59"/>
      <c r="B3" s="59"/>
      <c r="C3" s="128" t="s">
        <v>71</v>
      </c>
      <c r="D3" s="128"/>
      <c r="E3" s="128"/>
      <c r="F3" s="128"/>
      <c r="G3" s="128"/>
      <c r="H3" s="59"/>
      <c r="I3" s="59"/>
      <c r="J3" s="59"/>
    </row>
    <row r="4" spans="1:10" ht="3.75" customHeight="1" thickBot="1" x14ac:dyDescent="0.35">
      <c r="A4" s="59"/>
      <c r="B4" s="59"/>
      <c r="C4" s="60"/>
      <c r="D4" s="60"/>
      <c r="E4" s="60"/>
      <c r="F4" s="60"/>
      <c r="G4" s="60"/>
      <c r="H4" s="59"/>
      <c r="I4" s="59"/>
      <c r="J4" s="59"/>
    </row>
    <row r="5" spans="1:10" ht="12.75" hidden="1" customHeight="1" thickBot="1" x14ac:dyDescent="0.3">
      <c r="A5" s="59"/>
      <c r="B5" s="59"/>
      <c r="C5" s="62"/>
      <c r="D5" s="59"/>
      <c r="E5" s="59"/>
      <c r="F5" s="59"/>
      <c r="G5" s="59"/>
      <c r="H5" s="59"/>
      <c r="I5" s="59"/>
      <c r="J5" s="59"/>
    </row>
    <row r="6" spans="1:10" ht="39.75" customHeight="1" thickBot="1" x14ac:dyDescent="0.3">
      <c r="A6" s="59"/>
      <c r="B6" s="63"/>
      <c r="C6" s="64" t="s">
        <v>72</v>
      </c>
      <c r="D6" s="65" t="s">
        <v>84</v>
      </c>
      <c r="E6" s="66" t="s">
        <v>66</v>
      </c>
      <c r="F6" s="67" t="s">
        <v>65</v>
      </c>
      <c r="G6" s="68" t="s">
        <v>67</v>
      </c>
      <c r="H6" s="59"/>
      <c r="I6" s="59"/>
      <c r="J6" s="59"/>
    </row>
    <row r="7" spans="1:10" ht="44.25" customHeight="1" x14ac:dyDescent="0.25">
      <c r="A7" s="59"/>
      <c r="B7" s="69">
        <v>1</v>
      </c>
      <c r="C7" s="70" t="s">
        <v>81</v>
      </c>
      <c r="D7" s="56">
        <v>1</v>
      </c>
      <c r="E7" s="71" t="s">
        <v>74</v>
      </c>
      <c r="F7" s="72" t="s">
        <v>77</v>
      </c>
      <c r="G7" s="73" t="s">
        <v>80</v>
      </c>
      <c r="H7" s="59"/>
      <c r="I7" s="59"/>
      <c r="J7" s="59"/>
    </row>
    <row r="8" spans="1:10" ht="43.5" customHeight="1" x14ac:dyDescent="0.25">
      <c r="A8" s="59"/>
      <c r="B8" s="69">
        <v>2</v>
      </c>
      <c r="C8" s="74" t="s">
        <v>73</v>
      </c>
      <c r="D8" s="75" t="s">
        <v>86</v>
      </c>
      <c r="E8" s="76" t="s">
        <v>75</v>
      </c>
      <c r="F8" s="77" t="s">
        <v>76</v>
      </c>
      <c r="G8" s="78" t="s">
        <v>79</v>
      </c>
      <c r="H8" s="59"/>
      <c r="I8" s="59"/>
      <c r="J8" s="59"/>
    </row>
    <row r="9" spans="1:10" ht="42.75" customHeight="1" x14ac:dyDescent="0.25">
      <c r="A9" s="59"/>
      <c r="B9" s="69">
        <v>3</v>
      </c>
      <c r="C9" s="74" t="s">
        <v>99</v>
      </c>
      <c r="D9" s="75" t="s">
        <v>87</v>
      </c>
      <c r="E9" s="79" t="s">
        <v>98</v>
      </c>
      <c r="F9" s="77" t="s">
        <v>68</v>
      </c>
      <c r="G9" s="80" t="s">
        <v>80</v>
      </c>
      <c r="H9" s="59"/>
      <c r="I9" s="59"/>
      <c r="J9" s="59"/>
    </row>
    <row r="10" spans="1:10" ht="42" customHeight="1" x14ac:dyDescent="0.25">
      <c r="A10" s="59"/>
      <c r="B10" s="69">
        <v>4</v>
      </c>
      <c r="C10" s="93" t="s">
        <v>102</v>
      </c>
      <c r="D10" s="86" t="s">
        <v>87</v>
      </c>
      <c r="E10" s="92" t="s">
        <v>97</v>
      </c>
      <c r="F10" s="77" t="s">
        <v>100</v>
      </c>
      <c r="G10" s="80" t="s">
        <v>101</v>
      </c>
      <c r="H10" s="59"/>
      <c r="I10" s="59"/>
      <c r="J10" s="59"/>
    </row>
    <row r="11" spans="1:10" ht="42.75" customHeight="1" thickBot="1" x14ac:dyDescent="0.3">
      <c r="A11" s="59"/>
      <c r="B11" s="69">
        <v>5</v>
      </c>
      <c r="C11" s="81" t="s">
        <v>82</v>
      </c>
      <c r="D11" s="57">
        <v>2</v>
      </c>
      <c r="E11" s="79" t="s">
        <v>83</v>
      </c>
      <c r="F11" s="78" t="s">
        <v>78</v>
      </c>
      <c r="G11" s="78" t="s">
        <v>79</v>
      </c>
      <c r="H11" s="59"/>
      <c r="I11" s="59"/>
      <c r="J11" s="59"/>
    </row>
    <row r="12" spans="1:10" ht="28.5" customHeight="1" thickBot="1" x14ac:dyDescent="0.3">
      <c r="A12" s="59"/>
      <c r="B12" s="63"/>
      <c r="C12" s="82" t="s">
        <v>85</v>
      </c>
      <c r="D12" s="58" t="s">
        <v>88</v>
      </c>
      <c r="E12" s="59"/>
      <c r="F12" s="59"/>
      <c r="G12" s="59"/>
      <c r="H12" s="59"/>
      <c r="I12" s="59"/>
      <c r="J12" s="59"/>
    </row>
    <row r="13" spans="1:10" ht="6.75" customHeigh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x14ac:dyDescent="0.25">
      <c r="A14" s="59"/>
      <c r="B14" s="59"/>
      <c r="C14" s="83" t="s">
        <v>69</v>
      </c>
      <c r="D14" s="94" t="str">
        <f>IF(D12&gt;15,"BLENDED MODE","NOT BLENDED")</f>
        <v>BLENDED MODE</v>
      </c>
      <c r="E14" s="59"/>
      <c r="F14" s="59"/>
      <c r="G14" s="59"/>
      <c r="H14" s="59"/>
      <c r="I14" s="59"/>
      <c r="J14" s="59"/>
    </row>
    <row r="15" spans="1:10" ht="22.5" customHeight="1" x14ac:dyDescent="0.25">
      <c r="A15" s="59"/>
      <c r="B15" s="59"/>
      <c r="C15" s="129" t="s">
        <v>109</v>
      </c>
      <c r="D15" s="130"/>
      <c r="E15" s="59"/>
      <c r="F15" s="59"/>
      <c r="G15" s="59"/>
      <c r="H15" s="59"/>
      <c r="I15" s="59"/>
      <c r="J15" s="59"/>
    </row>
    <row r="16" spans="1:10" x14ac:dyDescent="0.25">
      <c r="A16" s="59"/>
      <c r="B16" s="59"/>
      <c r="C16" s="84"/>
      <c r="D16" s="59"/>
      <c r="E16" s="59"/>
      <c r="F16" s="59"/>
      <c r="G16" s="59"/>
      <c r="H16" s="59"/>
      <c r="I16" s="59"/>
      <c r="J16" s="59"/>
    </row>
  </sheetData>
  <mergeCells count="3">
    <mergeCell ref="C3:G3"/>
    <mergeCell ref="C15:D15"/>
    <mergeCell ref="E2:G2"/>
  </mergeCells>
  <pageMargins left="0.7" right="0.7" top="0.75" bottom="0.75" header="0.3" footer="0.3"/>
  <pageSetup paperSize="9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activeCell="D12" sqref="D12"/>
    </sheetView>
  </sheetViews>
  <sheetFormatPr defaultRowHeight="15" x14ac:dyDescent="0.25"/>
  <cols>
    <col min="1" max="1" width="2.42578125" customWidth="1"/>
    <col min="2" max="2" width="2.5703125" customWidth="1"/>
    <col min="3" max="3" width="34.28515625" customWidth="1"/>
    <col min="4" max="4" width="17.7109375" customWidth="1"/>
    <col min="5" max="5" width="21.7109375" customWidth="1"/>
    <col min="6" max="6" width="15.7109375" customWidth="1"/>
    <col min="7" max="7" width="34.42578125" customWidth="1"/>
  </cols>
  <sheetData>
    <row r="1" spans="1:10" ht="34.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5"/>
    </row>
    <row r="2" spans="1:10" ht="22.5" customHeight="1" x14ac:dyDescent="0.25">
      <c r="A2" s="59"/>
      <c r="B2" s="59"/>
      <c r="C2" s="59"/>
      <c r="D2" s="102"/>
      <c r="E2" s="132" t="s">
        <v>70</v>
      </c>
      <c r="F2" s="132"/>
      <c r="G2" s="132"/>
      <c r="H2" s="59"/>
      <c r="I2" s="59"/>
      <c r="J2" s="55"/>
    </row>
    <row r="3" spans="1:10" ht="3.75" customHeight="1" x14ac:dyDescent="0.25">
      <c r="A3" s="59"/>
      <c r="B3" s="59"/>
      <c r="C3" s="59"/>
      <c r="D3" s="102"/>
      <c r="E3" s="103"/>
      <c r="F3" s="103"/>
      <c r="G3" s="103"/>
      <c r="H3" s="59"/>
      <c r="I3" s="59"/>
      <c r="J3" s="55"/>
    </row>
    <row r="4" spans="1:10" ht="16.5" customHeight="1" x14ac:dyDescent="0.25">
      <c r="A4" s="59"/>
      <c r="B4" s="59"/>
      <c r="C4" s="141" t="s">
        <v>71</v>
      </c>
      <c r="D4" s="141"/>
      <c r="E4" s="141"/>
      <c r="F4" s="141"/>
      <c r="G4" s="141"/>
      <c r="H4" s="59"/>
      <c r="I4" s="59"/>
      <c r="J4" s="55"/>
    </row>
    <row r="5" spans="1:10" ht="4.5" customHeight="1" x14ac:dyDescent="0.3">
      <c r="A5" s="59"/>
      <c r="B5" s="59"/>
      <c r="C5" s="136" t="s">
        <v>71</v>
      </c>
      <c r="D5" s="136"/>
      <c r="E5" s="136"/>
      <c r="F5" s="136"/>
      <c r="G5" s="136"/>
      <c r="H5" s="59"/>
      <c r="I5" s="59"/>
      <c r="J5" s="55"/>
    </row>
    <row r="6" spans="1:10" ht="0.75" customHeight="1" thickBot="1" x14ac:dyDescent="0.35">
      <c r="A6" s="59"/>
      <c r="B6" s="59"/>
      <c r="C6" s="60"/>
      <c r="D6" s="60"/>
      <c r="E6" s="60"/>
      <c r="F6" s="60"/>
      <c r="G6" s="60"/>
      <c r="H6" s="59"/>
      <c r="I6" s="59"/>
      <c r="J6" s="55"/>
    </row>
    <row r="7" spans="1:10" ht="15.75" thickBot="1" x14ac:dyDescent="0.3">
      <c r="A7" s="59"/>
      <c r="B7" s="59"/>
      <c r="C7" s="137" t="s">
        <v>89</v>
      </c>
      <c r="D7" s="138"/>
      <c r="E7" s="138"/>
      <c r="F7" s="61" t="s">
        <v>90</v>
      </c>
      <c r="G7" s="85" t="s">
        <v>91</v>
      </c>
      <c r="H7" s="59"/>
      <c r="I7" s="59"/>
      <c r="J7" s="55"/>
    </row>
    <row r="8" spans="1:10" ht="3.75" customHeight="1" thickBot="1" x14ac:dyDescent="0.3">
      <c r="A8" s="59"/>
      <c r="B8" s="59"/>
      <c r="C8" s="62"/>
      <c r="D8" s="59"/>
      <c r="E8" s="59"/>
      <c r="F8" s="59"/>
      <c r="G8" s="59"/>
      <c r="H8" s="59"/>
      <c r="I8" s="59"/>
      <c r="J8" s="55"/>
    </row>
    <row r="9" spans="1:10" ht="48.75" customHeight="1" thickBot="1" x14ac:dyDescent="0.3">
      <c r="A9" s="59"/>
      <c r="B9" s="63"/>
      <c r="C9" s="64" t="s">
        <v>72</v>
      </c>
      <c r="D9" s="99" t="s">
        <v>84</v>
      </c>
      <c r="E9" s="142" t="s">
        <v>92</v>
      </c>
      <c r="F9" s="143"/>
      <c r="G9" s="98" t="s">
        <v>111</v>
      </c>
      <c r="H9" s="59"/>
      <c r="I9" s="59"/>
      <c r="J9" s="55"/>
    </row>
    <row r="10" spans="1:10" ht="26.25" customHeight="1" x14ac:dyDescent="0.25">
      <c r="A10" s="59"/>
      <c r="B10" s="69">
        <v>1</v>
      </c>
      <c r="C10" s="70" t="s">
        <v>81</v>
      </c>
      <c r="D10" s="100">
        <v>1</v>
      </c>
      <c r="E10" s="133" t="s">
        <v>94</v>
      </c>
      <c r="F10" s="133"/>
      <c r="G10" s="90"/>
      <c r="H10" s="59"/>
      <c r="I10" s="59"/>
      <c r="J10" s="55"/>
    </row>
    <row r="11" spans="1:10" ht="87.75" customHeight="1" x14ac:dyDescent="0.25">
      <c r="A11" s="59"/>
      <c r="B11" s="69">
        <v>2</v>
      </c>
      <c r="C11" s="74" t="s">
        <v>73</v>
      </c>
      <c r="D11" s="101">
        <v>8</v>
      </c>
      <c r="E11" s="133" t="s">
        <v>110</v>
      </c>
      <c r="F11" s="144"/>
      <c r="G11" s="89" t="s">
        <v>112</v>
      </c>
      <c r="H11" s="59"/>
      <c r="I11" s="59"/>
      <c r="J11" s="55"/>
    </row>
    <row r="12" spans="1:10" ht="43.5" customHeight="1" x14ac:dyDescent="0.25">
      <c r="A12" s="59"/>
      <c r="B12" s="69">
        <v>3</v>
      </c>
      <c r="C12" s="74" t="s">
        <v>99</v>
      </c>
      <c r="D12" s="101">
        <v>4</v>
      </c>
      <c r="E12" s="133" t="s">
        <v>106</v>
      </c>
      <c r="F12" s="134"/>
      <c r="G12" s="91" t="s">
        <v>107</v>
      </c>
      <c r="H12" s="59"/>
      <c r="I12" s="59"/>
      <c r="J12" s="55"/>
    </row>
    <row r="13" spans="1:10" ht="48.75" customHeight="1" x14ac:dyDescent="0.25">
      <c r="A13" s="59"/>
      <c r="B13" s="69">
        <v>4</v>
      </c>
      <c r="C13" s="87" t="s">
        <v>103</v>
      </c>
      <c r="D13" s="101">
        <v>3</v>
      </c>
      <c r="E13" s="133" t="s">
        <v>95</v>
      </c>
      <c r="F13" s="134"/>
      <c r="G13" s="91" t="s">
        <v>104</v>
      </c>
      <c r="H13" s="59"/>
      <c r="I13" s="59"/>
      <c r="J13" s="55"/>
    </row>
    <row r="14" spans="1:10" ht="32.25" customHeight="1" thickBot="1" x14ac:dyDescent="0.3">
      <c r="A14" s="59"/>
      <c r="B14" s="69">
        <v>5</v>
      </c>
      <c r="C14" s="81" t="s">
        <v>82</v>
      </c>
      <c r="D14" s="100">
        <v>2</v>
      </c>
      <c r="E14" s="133" t="s">
        <v>96</v>
      </c>
      <c r="F14" s="134"/>
      <c r="G14" s="78" t="s">
        <v>105</v>
      </c>
      <c r="H14" s="59"/>
      <c r="I14" s="59"/>
      <c r="J14" s="55"/>
    </row>
    <row r="15" spans="1:10" ht="28.5" customHeight="1" thickBot="1" x14ac:dyDescent="0.3">
      <c r="A15" s="59"/>
      <c r="B15" s="63"/>
      <c r="C15" s="82" t="s">
        <v>85</v>
      </c>
      <c r="D15" s="100">
        <f>SUM(D10:D14)-(D13)</f>
        <v>15</v>
      </c>
      <c r="E15" s="59"/>
      <c r="F15" s="59"/>
      <c r="G15" s="59"/>
      <c r="H15" s="59"/>
      <c r="I15" s="59"/>
      <c r="J15" s="55"/>
    </row>
    <row r="16" spans="1:10" ht="5.2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5"/>
    </row>
    <row r="17" spans="1:10" x14ac:dyDescent="0.25">
      <c r="A17" s="59"/>
      <c r="B17" s="59"/>
      <c r="C17" s="83" t="s">
        <v>69</v>
      </c>
      <c r="D17" s="94" t="str">
        <f>IF(D15&gt;=15,"BLENDED MODE","NOT BLENDED")</f>
        <v>BLENDED MODE</v>
      </c>
      <c r="E17" s="59"/>
      <c r="F17" s="59"/>
      <c r="G17" s="59"/>
      <c r="H17" s="59"/>
      <c r="I17" s="59"/>
      <c r="J17" s="55"/>
    </row>
    <row r="18" spans="1:10" ht="22.5" customHeight="1" x14ac:dyDescent="0.25">
      <c r="A18" s="59"/>
      <c r="B18" s="59"/>
      <c r="C18" s="139" t="s">
        <v>108</v>
      </c>
      <c r="D18" s="140"/>
      <c r="E18" s="135" t="s">
        <v>93</v>
      </c>
      <c r="F18" s="135"/>
      <c r="G18" s="135"/>
      <c r="H18" s="59"/>
      <c r="I18" s="59"/>
      <c r="J18" s="55"/>
    </row>
    <row r="19" spans="1:10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</row>
  </sheetData>
  <mergeCells count="12">
    <mergeCell ref="E2:G2"/>
    <mergeCell ref="E13:F13"/>
    <mergeCell ref="E14:F14"/>
    <mergeCell ref="E18:G18"/>
    <mergeCell ref="C5:G5"/>
    <mergeCell ref="C7:E7"/>
    <mergeCell ref="C18:D18"/>
    <mergeCell ref="C4:G4"/>
    <mergeCell ref="E10:F10"/>
    <mergeCell ref="E9:F9"/>
    <mergeCell ref="E11:F11"/>
    <mergeCell ref="E12:F12"/>
  </mergeCells>
  <pageMargins left="0.7" right="0.7" top="0.75" bottom="0.75" header="0.3" footer="0.3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C3" sqref="C3:G3"/>
    </sheetView>
  </sheetViews>
  <sheetFormatPr defaultRowHeight="15" x14ac:dyDescent="0.25"/>
  <cols>
    <col min="1" max="1" width="2.42578125" customWidth="1"/>
    <col min="2" max="2" width="2.5703125" customWidth="1"/>
    <col min="3" max="3" width="34.28515625" customWidth="1"/>
    <col min="4" max="4" width="17.7109375" customWidth="1"/>
    <col min="5" max="5" width="21.7109375" customWidth="1"/>
    <col min="6" max="6" width="15" customWidth="1"/>
    <col min="7" max="7" width="25.28515625" customWidth="1"/>
  </cols>
  <sheetData>
    <row r="1" spans="1:10" ht="34.5" customHeight="1" x14ac:dyDescent="0.25">
      <c r="A1" s="59"/>
      <c r="B1" s="59"/>
      <c r="C1" s="59"/>
      <c r="D1" s="59"/>
      <c r="E1" s="59"/>
      <c r="F1" s="59"/>
      <c r="G1" s="59"/>
      <c r="H1" s="59"/>
      <c r="I1" s="59"/>
      <c r="J1" s="55"/>
    </row>
    <row r="2" spans="1:10" ht="24" customHeight="1" x14ac:dyDescent="0.25">
      <c r="A2" s="59"/>
      <c r="B2" s="59"/>
      <c r="C2" s="59"/>
      <c r="E2" s="131" t="s">
        <v>70</v>
      </c>
      <c r="F2" s="131"/>
      <c r="G2" s="131"/>
      <c r="H2" s="59"/>
      <c r="I2" s="59"/>
      <c r="J2" s="55"/>
    </row>
    <row r="3" spans="1:10" ht="16.5" customHeight="1" x14ac:dyDescent="0.25">
      <c r="A3" s="59"/>
      <c r="B3" s="59"/>
      <c r="C3" s="141" t="s">
        <v>71</v>
      </c>
      <c r="D3" s="141"/>
      <c r="E3" s="141"/>
      <c r="F3" s="141"/>
      <c r="G3" s="141"/>
      <c r="H3" s="59"/>
      <c r="I3" s="59"/>
      <c r="J3" s="55"/>
    </row>
    <row r="4" spans="1:10" ht="5.25" customHeight="1" thickBot="1" x14ac:dyDescent="0.35">
      <c r="A4" s="59"/>
      <c r="B4" s="59"/>
      <c r="C4" s="136" t="s">
        <v>71</v>
      </c>
      <c r="D4" s="136"/>
      <c r="E4" s="136"/>
      <c r="F4" s="136"/>
      <c r="G4" s="136"/>
      <c r="H4" s="59"/>
      <c r="I4" s="59"/>
      <c r="J4" s="55"/>
    </row>
    <row r="5" spans="1:10" ht="0.75" hidden="1" customHeight="1" thickBot="1" x14ac:dyDescent="0.35">
      <c r="A5" s="59"/>
      <c r="B5" s="59"/>
      <c r="C5" s="88"/>
      <c r="D5" s="88"/>
      <c r="E5" s="88"/>
      <c r="F5" s="88"/>
      <c r="G5" s="88"/>
      <c r="H5" s="59"/>
      <c r="I5" s="59"/>
      <c r="J5" s="55"/>
    </row>
    <row r="6" spans="1:10" ht="15.75" thickBot="1" x14ac:dyDescent="0.3">
      <c r="A6" s="59"/>
      <c r="B6" s="59"/>
      <c r="C6" s="137" t="s">
        <v>89</v>
      </c>
      <c r="D6" s="138"/>
      <c r="E6" s="138"/>
      <c r="F6" s="61" t="s">
        <v>90</v>
      </c>
      <c r="G6" s="85" t="s">
        <v>91</v>
      </c>
      <c r="H6" s="59"/>
      <c r="I6" s="59"/>
      <c r="J6" s="55"/>
    </row>
    <row r="7" spans="1:10" ht="6" customHeight="1" thickBot="1" x14ac:dyDescent="0.3">
      <c r="A7" s="59"/>
      <c r="B7" s="59"/>
      <c r="C7" s="62"/>
      <c r="D7" s="59"/>
      <c r="E7" s="59"/>
      <c r="F7" s="59"/>
      <c r="G7" s="59"/>
      <c r="H7" s="59"/>
      <c r="I7" s="59"/>
      <c r="J7" s="55"/>
    </row>
    <row r="8" spans="1:10" ht="48.75" customHeight="1" thickBot="1" x14ac:dyDescent="0.3">
      <c r="A8" s="59"/>
      <c r="B8" s="63"/>
      <c r="C8" s="64" t="s">
        <v>72</v>
      </c>
      <c r="D8" s="65" t="s">
        <v>84</v>
      </c>
      <c r="E8" s="142" t="s">
        <v>92</v>
      </c>
      <c r="F8" s="143"/>
      <c r="G8" s="98" t="s">
        <v>111</v>
      </c>
      <c r="H8" s="59"/>
      <c r="I8" s="59"/>
      <c r="J8" s="55"/>
    </row>
    <row r="9" spans="1:10" ht="30" customHeight="1" thickBot="1" x14ac:dyDescent="0.3">
      <c r="A9" s="59"/>
      <c r="B9" s="69">
        <v>1</v>
      </c>
      <c r="C9" s="70" t="s">
        <v>81</v>
      </c>
      <c r="D9" s="95">
        <v>1</v>
      </c>
      <c r="E9" s="146"/>
      <c r="F9" s="147"/>
      <c r="G9" s="90"/>
      <c r="H9" s="59"/>
      <c r="I9" s="59"/>
      <c r="J9" s="55"/>
    </row>
    <row r="10" spans="1:10" ht="38.25" customHeight="1" thickBot="1" x14ac:dyDescent="0.3">
      <c r="A10" s="59"/>
      <c r="B10" s="69">
        <v>2</v>
      </c>
      <c r="C10" s="74" t="s">
        <v>73</v>
      </c>
      <c r="D10" s="96">
        <v>8</v>
      </c>
      <c r="E10" s="133"/>
      <c r="F10" s="144"/>
      <c r="G10" s="89"/>
      <c r="H10" s="59"/>
      <c r="I10" s="59"/>
      <c r="J10" s="55"/>
    </row>
    <row r="11" spans="1:10" ht="39" customHeight="1" thickBot="1" x14ac:dyDescent="0.3">
      <c r="A11" s="59"/>
      <c r="B11" s="69">
        <v>3</v>
      </c>
      <c r="C11" s="74" t="s">
        <v>99</v>
      </c>
      <c r="D11" s="96">
        <v>2</v>
      </c>
      <c r="E11" s="148"/>
      <c r="F11" s="134"/>
      <c r="G11" s="91"/>
      <c r="H11" s="59"/>
      <c r="I11" s="59"/>
      <c r="J11" s="55"/>
    </row>
    <row r="12" spans="1:10" ht="39.75" customHeight="1" thickBot="1" x14ac:dyDescent="0.3">
      <c r="A12" s="59"/>
      <c r="B12" s="69">
        <v>4</v>
      </c>
      <c r="C12" s="87" t="s">
        <v>103</v>
      </c>
      <c r="D12" s="96">
        <v>0</v>
      </c>
      <c r="E12" s="148"/>
      <c r="F12" s="134"/>
      <c r="G12" s="91"/>
      <c r="H12" s="59"/>
      <c r="I12" s="59"/>
      <c r="J12" s="55"/>
    </row>
    <row r="13" spans="1:10" ht="34.5" customHeight="1" thickBot="1" x14ac:dyDescent="0.3">
      <c r="A13" s="59"/>
      <c r="B13" s="69">
        <v>5</v>
      </c>
      <c r="C13" s="81" t="s">
        <v>82</v>
      </c>
      <c r="D13" s="97">
        <v>2</v>
      </c>
      <c r="E13" s="148"/>
      <c r="F13" s="134"/>
      <c r="G13" s="78"/>
      <c r="H13" s="59"/>
      <c r="I13" s="59"/>
      <c r="J13" s="55"/>
    </row>
    <row r="14" spans="1:10" ht="23.25" customHeight="1" thickBot="1" x14ac:dyDescent="0.3">
      <c r="A14" s="59"/>
      <c r="B14" s="63"/>
      <c r="C14" s="82" t="s">
        <v>85</v>
      </c>
      <c r="D14" s="58">
        <f>SUM(D9:D13)-(D12)</f>
        <v>13</v>
      </c>
      <c r="E14" s="59"/>
      <c r="F14" s="59"/>
      <c r="G14" s="59"/>
      <c r="H14" s="59"/>
      <c r="I14" s="59"/>
      <c r="J14" s="55"/>
    </row>
    <row r="15" spans="1:10" ht="9.7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5"/>
    </row>
    <row r="16" spans="1:10" x14ac:dyDescent="0.25">
      <c r="A16" s="59"/>
      <c r="B16" s="59"/>
      <c r="C16" s="83" t="s">
        <v>69</v>
      </c>
      <c r="D16" s="94" t="str">
        <f>IF(D14&gt;15,"BLENDED MODE","NOT BLENDED")</f>
        <v>NOT BLENDED</v>
      </c>
      <c r="E16" s="59"/>
      <c r="F16" s="59"/>
      <c r="G16" s="59"/>
      <c r="H16" s="59"/>
      <c r="I16" s="59"/>
      <c r="J16" s="55"/>
    </row>
    <row r="17" spans="1:10" ht="22.5" customHeight="1" x14ac:dyDescent="0.25">
      <c r="A17" s="59"/>
      <c r="B17" s="59"/>
      <c r="C17" s="139" t="s">
        <v>108</v>
      </c>
      <c r="D17" s="140"/>
      <c r="E17" s="145" t="s">
        <v>93</v>
      </c>
      <c r="F17" s="145"/>
      <c r="G17" s="145"/>
      <c r="H17" s="59"/>
      <c r="I17" s="59"/>
      <c r="J17" s="55"/>
    </row>
    <row r="18" spans="1:10" x14ac:dyDescent="0.25">
      <c r="A18" s="63"/>
      <c r="B18" s="63"/>
      <c r="C18" s="63"/>
      <c r="D18" s="63"/>
      <c r="H18" s="63"/>
      <c r="I18" s="63"/>
      <c r="J18" s="55"/>
    </row>
  </sheetData>
  <mergeCells count="12">
    <mergeCell ref="E2:G2"/>
    <mergeCell ref="E17:G17"/>
    <mergeCell ref="C3:G3"/>
    <mergeCell ref="C4:G4"/>
    <mergeCell ref="C6:E6"/>
    <mergeCell ref="E8:F8"/>
    <mergeCell ref="E9:F9"/>
    <mergeCell ref="E10:F10"/>
    <mergeCell ref="E11:F11"/>
    <mergeCell ref="E12:F12"/>
    <mergeCell ref="E13:F13"/>
    <mergeCell ref="C17:D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MASTER5_COMPLETE CHECK</vt:lpstr>
      <vt:lpstr>DASHBOARD</vt:lpstr>
      <vt:lpstr>BLFRinfo</vt:lpstr>
      <vt:lpstr>BLFRcth</vt:lpstr>
      <vt:lpstr>BLFRborang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DrNana</dc:creator>
  <cp:lastModifiedBy>USER 28</cp:lastModifiedBy>
  <cp:lastPrinted>2016-10-28T07:37:47Z</cp:lastPrinted>
  <dcterms:created xsi:type="dcterms:W3CDTF">2014-06-11T01:51:58Z</dcterms:created>
  <dcterms:modified xsi:type="dcterms:W3CDTF">2017-07-12T08:45:26Z</dcterms:modified>
</cp:coreProperties>
</file>